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1170" windowWidth="13470" windowHeight="8355" tabRatio="578" activeTab="0"/>
  </bookViews>
  <sheets>
    <sheet name="Сводный ДРСУ" sheetId="1" r:id="rId1"/>
    <sheet name="Беловский " sheetId="2" r:id="rId2"/>
    <sheet name="Гурьевский " sheetId="3" r:id="rId3"/>
    <sheet name="Ижморский " sheetId="4" r:id="rId4"/>
    <sheet name="Кемеровское дрсу" sheetId="5" r:id="rId5"/>
    <sheet name="Лель" sheetId="6" r:id="rId6"/>
    <sheet name="Крапивиноавтодор" sheetId="7" r:id="rId7"/>
    <sheet name="Полысаев (Кемер район)" sheetId="8" r:id="rId8"/>
    <sheet name="Промышл (Л-Куз р-н)" sheetId="9" r:id="rId9"/>
    <sheet name=" Кем-Л-Кузн магистр" sheetId="10" r:id="rId10"/>
    <sheet name="Мариинский" sheetId="11" r:id="rId11"/>
    <sheet name="Новокузнецкое" sheetId="12" r:id="rId12"/>
    <sheet name="Новокуз( Прок р-н)" sheetId="13" r:id="rId13"/>
    <sheet name="Шушан " sheetId="14" r:id="rId14"/>
    <sheet name="Промышленновский" sheetId="15" r:id="rId15"/>
    <sheet name="Сократ" sheetId="16" r:id="rId16"/>
    <sheet name="Таштагол" sheetId="17" r:id="rId17"/>
    <sheet name="ООО &quot;Ресурс&quot;" sheetId="18" r:id="rId18"/>
    <sheet name="Автодор (Топкинский район)" sheetId="19" r:id="rId19"/>
    <sheet name="Тяжинское ДРСУ" sheetId="20" r:id="rId20"/>
    <sheet name="Новос Тяж район" sheetId="21" r:id="rId21"/>
    <sheet name="Чебулинское ДРСУ" sheetId="22" r:id="rId22"/>
    <sheet name="Юргинский район" sheetId="23" r:id="rId23"/>
    <sheet name="Яйский филиал" sheetId="24" r:id="rId24"/>
    <sheet name="РегионДорСтрой" sheetId="25" r:id="rId25"/>
  </sheets>
  <definedNames>
    <definedName name="_xlnm.Print_Titles" localSheetId="18">'Автодор (Топкинский район)'!$4:$6</definedName>
    <definedName name="_xlnm.Print_Titles" localSheetId="1">'Беловский '!$5:$7</definedName>
    <definedName name="_xlnm.Print_Titles" localSheetId="2">'Гурьевский '!$4:$6</definedName>
    <definedName name="_xlnm.Print_Titles" localSheetId="3">'Ижморский '!$4:$6</definedName>
    <definedName name="_xlnm.Print_Titles" localSheetId="4">'Кемеровское дрсу'!$5:$7</definedName>
    <definedName name="_xlnm.Print_Titles" localSheetId="5">'Лель'!$5:$7</definedName>
    <definedName name="_xlnm.Print_Titles" localSheetId="10">'Мариинский'!$4:$6</definedName>
    <definedName name="_xlnm.Print_Titles" localSheetId="12">'Новокуз( Прок р-н)'!$5:$7</definedName>
    <definedName name="_xlnm.Print_Titles" localSheetId="11">'Новокузнецкое'!$5:$7</definedName>
    <definedName name="_xlnm.Print_Titles" localSheetId="20">'Новос Тяж район'!$4:$6</definedName>
    <definedName name="_xlnm.Print_Titles" localSheetId="17">'ООО "Ресурс"'!$5:$7</definedName>
    <definedName name="_xlnm.Print_Titles" localSheetId="7">'Полысаев (Кемер район)'!$5:$7</definedName>
    <definedName name="_xlnm.Print_Titles" localSheetId="8">'Промышл (Л-Куз р-н)'!$5:$7</definedName>
    <definedName name="_xlnm.Print_Titles" localSheetId="14">'Промышленновский'!$5:$7</definedName>
    <definedName name="_xlnm.Print_Titles" localSheetId="24">'РегионДорСтрой'!$5:$7</definedName>
    <definedName name="_xlnm.Print_Titles" localSheetId="16">'Таштагол'!$5:$7</definedName>
    <definedName name="_xlnm.Print_Titles" localSheetId="19">'Тяжинское ДРСУ'!$5:$7</definedName>
    <definedName name="_xlnm.Print_Titles" localSheetId="21">'Чебулинское ДРСУ'!$5:$7</definedName>
    <definedName name="_xlnm.Print_Titles" localSheetId="22">'Юргинский район'!$5:$7</definedName>
    <definedName name="_xlnm.Print_Titles" localSheetId="23">'Яйский филиал'!$4:$6</definedName>
    <definedName name="_xlnm.Print_Area" localSheetId="9">' Кем-Л-Кузн магистр'!$A$1:$N$30</definedName>
    <definedName name="_xlnm.Print_Area" localSheetId="18">'Автодор (Топкинский район)'!$A$1:$N$103</definedName>
    <definedName name="_xlnm.Print_Area" localSheetId="1">'Беловский '!$A$1:$N$54</definedName>
    <definedName name="_xlnm.Print_Area" localSheetId="2">'Гурьевский '!$A$1:$N$79</definedName>
    <definedName name="_xlnm.Print_Area" localSheetId="3">'Ижморский '!$A$1:$N$67</definedName>
    <definedName name="_xlnm.Print_Area" localSheetId="4">'Кемеровское дрсу'!$A$1:$N$89</definedName>
    <definedName name="_xlnm.Print_Area" localSheetId="6">'Крапивиноавтодор'!$A$1:$N$60</definedName>
    <definedName name="_xlnm.Print_Area" localSheetId="5">'Лель'!$A$1:$N$87</definedName>
    <definedName name="_xlnm.Print_Area" localSheetId="10">'Мариинский'!$A$1:$N$91</definedName>
    <definedName name="_xlnm.Print_Area" localSheetId="12">'Новокуз( Прок р-н)'!$A$1:$N$64</definedName>
    <definedName name="_xlnm.Print_Area" localSheetId="11">'Новокузнецкое'!$A$1:$N$150</definedName>
    <definedName name="_xlnm.Print_Area" localSheetId="20">'Новос Тяж район'!$A$1:$N$59</definedName>
    <definedName name="_xlnm.Print_Area" localSheetId="17">'ООО "Ресурс"'!$A$1:$N$72</definedName>
    <definedName name="_xlnm.Print_Area" localSheetId="7">'Полысаев (Кемер район)'!$A$1:$N$46</definedName>
    <definedName name="_xlnm.Print_Area" localSheetId="8">'Промышл (Л-Куз р-н)'!$A$1:$N$64</definedName>
    <definedName name="_xlnm.Print_Area" localSheetId="14">'Промышленновский'!$A$1:$N$61</definedName>
    <definedName name="_xlnm.Print_Area" localSheetId="24">'РегионДорСтрой'!$A$1:$N$94</definedName>
    <definedName name="_xlnm.Print_Area" localSheetId="0">'Сводный ДРСУ'!$A$1:$M$69</definedName>
    <definedName name="_xlnm.Print_Area" localSheetId="15">'Сократ'!$A$1:$N$57</definedName>
    <definedName name="_xlnm.Print_Area" localSheetId="16">'Таштагол'!$A$1:$N$52</definedName>
    <definedName name="_xlnm.Print_Area" localSheetId="19">'Тяжинское ДРСУ'!$A$1:$N$63</definedName>
    <definedName name="_xlnm.Print_Area" localSheetId="21">'Чебулинское ДРСУ'!$A$1:$N$62</definedName>
    <definedName name="_xlnm.Print_Area" localSheetId="13">'Шушан '!$A$1:$N$68</definedName>
    <definedName name="_xlnm.Print_Area" localSheetId="22">'Юргинский район'!$A$1:$N$90</definedName>
    <definedName name="_xlnm.Print_Area" localSheetId="23">'Яйский филиал'!$A$1:$N$63</definedName>
  </definedNames>
  <calcPr fullCalcOnLoad="1"/>
</workbook>
</file>

<file path=xl/sharedStrings.xml><?xml version="1.0" encoding="utf-8"?>
<sst xmlns="http://schemas.openxmlformats.org/spreadsheetml/2006/main" count="2824" uniqueCount="1527">
  <si>
    <t>23-43,240</t>
  </si>
  <si>
    <t>АО "Таштагольское ДРСУ"</t>
  </si>
  <si>
    <t>0-5,085</t>
  </si>
  <si>
    <t>Перечень</t>
  </si>
  <si>
    <t>в том числе</t>
  </si>
  <si>
    <t>Всего</t>
  </si>
  <si>
    <t>ж/б</t>
  </si>
  <si>
    <t>мет</t>
  </si>
  <si>
    <t>перех</t>
  </si>
  <si>
    <t xml:space="preserve">N </t>
  </si>
  <si>
    <t>0-3,5</t>
  </si>
  <si>
    <t>0-3,2</t>
  </si>
  <si>
    <t>0-2,2</t>
  </si>
  <si>
    <t>0-1</t>
  </si>
  <si>
    <t>N</t>
  </si>
  <si>
    <t>а/б</t>
  </si>
  <si>
    <t xml:space="preserve">Всего </t>
  </si>
  <si>
    <t>метал</t>
  </si>
  <si>
    <t>Мосты    шт / пм</t>
  </si>
  <si>
    <t>Трубы, шт/пм</t>
  </si>
  <si>
    <t>0-8</t>
  </si>
  <si>
    <t>0-10</t>
  </si>
  <si>
    <t>0-12</t>
  </si>
  <si>
    <t>0-11,4</t>
  </si>
  <si>
    <t>Подрядная
организация</t>
  </si>
  <si>
    <t>Белово-Коновалово-Прокопьевск</t>
  </si>
  <si>
    <t>8-10,4
11-40</t>
  </si>
  <si>
    <t>IV</t>
  </si>
  <si>
    <t>14,9-20
20,7-25,1
26,1-46,3</t>
  </si>
  <si>
    <t>Инской-Уроп-Инюшка</t>
  </si>
  <si>
    <t>Инской-Менчереп-Дунай-Ключ</t>
  </si>
  <si>
    <t>Белово-Новобачаты</t>
  </si>
  <si>
    <t>"Ленинск-Кузнецкий-Новокузнецк-Междуреченск"-Степной</t>
  </si>
  <si>
    <t>0-4,4</t>
  </si>
  <si>
    <t>Старопестерево-Заринское</t>
  </si>
  <si>
    <t>Инюшка-Рямовая</t>
  </si>
  <si>
    <t>"Белово-Коновалово-Прокопьевск"-Сидоренково</t>
  </si>
  <si>
    <t>0-1,7</t>
  </si>
  <si>
    <t>"Инской-Менчереп-Дунай-Ключ"-Задубровский</t>
  </si>
  <si>
    <t>0-0,8</t>
  </si>
  <si>
    <t>"Ленинск-Кузнецкий-Новокузнецк-Междуреченск"-Инской</t>
  </si>
  <si>
    <t>0-3,2
4-8,3</t>
  </si>
  <si>
    <t>Менчереп-Хахалино</t>
  </si>
  <si>
    <t>0-3</t>
  </si>
  <si>
    <t>"Старопестерево-Заринское"-Заря</t>
  </si>
  <si>
    <t>0-1,2</t>
  </si>
  <si>
    <t>0-1,6</t>
  </si>
  <si>
    <t>Пермяки-Новохудяково</t>
  </si>
  <si>
    <t>0-6,8</t>
  </si>
  <si>
    <t>V</t>
  </si>
  <si>
    <t>0-2,6</t>
  </si>
  <si>
    <t>"Ленинск-Кузнецкий-Новокузнецк-Междуреченск"-п.им.Ильича</t>
  </si>
  <si>
    <t>0-1,5</t>
  </si>
  <si>
    <t>Алтай-Кузбасс</t>
  </si>
  <si>
    <t>развязка</t>
  </si>
  <si>
    <t>Белово-Гурьевск-Салаир</t>
  </si>
  <si>
    <t>Гурьевск-Малая Салаирка-Горскино-Урск</t>
  </si>
  <si>
    <t>"Белово-Гурьевск-Салаир"-Сосновка</t>
  </si>
  <si>
    <t>0-0,4</t>
  </si>
  <si>
    <t>Шанда-Старобачаты</t>
  </si>
  <si>
    <t>Гурьевск-Лесной</t>
  </si>
  <si>
    <t>Новопестерево-Мостовая-Дегтяревка</t>
  </si>
  <si>
    <t>Новопестерево-Печеркино</t>
  </si>
  <si>
    <t>Сосновка-Чуваш-Пай-Кочкуровка</t>
  </si>
  <si>
    <t>Обход г.Белово</t>
  </si>
  <si>
    <t>0-3,1</t>
  </si>
  <si>
    <t>Подъезд к с.Ур-Бедари</t>
  </si>
  <si>
    <t>Подъезд к с.Горскино</t>
  </si>
  <si>
    <t>Старобачаты-Щебзавод</t>
  </si>
  <si>
    <t>Старобачаты-Артышта</t>
  </si>
  <si>
    <t>Подъезд к п.ст.Мереть</t>
  </si>
  <si>
    <t>Урск-Апрелька-Хрестиновский</t>
  </si>
  <si>
    <t>0-18,5</t>
  </si>
  <si>
    <t>Урск-Дмитриевка</t>
  </si>
  <si>
    <t>Урск-Маслиха</t>
  </si>
  <si>
    <t>Хрестиновский-Кокуй с подъездом к п.Харьков Лог</t>
  </si>
  <si>
    <t>Томск-Мариинск</t>
  </si>
  <si>
    <t>Анжеро-Судженск-Яя-Ижморский</t>
  </si>
  <si>
    <t>"Томск-Мариинск"-Ижморский-Красный Яр с обходом с.Троицкое</t>
  </si>
  <si>
    <t>Почитанка-Новославянка</t>
  </si>
  <si>
    <t>Подъездк д.Нижегородка</t>
  </si>
  <si>
    <t>0-2,4</t>
  </si>
  <si>
    <t>Подъезд к с.Колыон</t>
  </si>
  <si>
    <t>Подъезд к с.Теплая Речка</t>
  </si>
  <si>
    <t>Подъезд к с.Почитанка</t>
  </si>
  <si>
    <t>Старопокровка-Ольговка</t>
  </si>
  <si>
    <t>0-5,4</t>
  </si>
  <si>
    <t>Колыон-Новопокровка</t>
  </si>
  <si>
    <t>0-6,4</t>
  </si>
  <si>
    <t>Святославка-Островка</t>
  </si>
  <si>
    <t>Новославянка-Новоорловка</t>
  </si>
  <si>
    <t>Новославянка-Левашовка</t>
  </si>
  <si>
    <t>0-7,3</t>
  </si>
  <si>
    <t>Троицкое-Симбирка</t>
  </si>
  <si>
    <t>Троицкое-Воскресенка-Иверка</t>
  </si>
  <si>
    <t>0-8,2</t>
  </si>
  <si>
    <t>Подъезд к с.Ломачевка</t>
  </si>
  <si>
    <t>Симбирка-Летяжка</t>
  </si>
  <si>
    <t>Подъезд к д.Листвянка</t>
  </si>
  <si>
    <t>Новосибирск-Ленинск-Кузнецкий-Кемерово-Юрга</t>
  </si>
  <si>
    <t>II</t>
  </si>
  <si>
    <t>Кемерово-Яшкино-Тайга</t>
  </si>
  <si>
    <t>III</t>
  </si>
  <si>
    <t>Кемерово-Анжеро-Судженск</t>
  </si>
  <si>
    <t>0-63</t>
  </si>
  <si>
    <t>Кемерово-Елыкаево-Старочервово</t>
  </si>
  <si>
    <t>Подъезд к д.Журавлево</t>
  </si>
  <si>
    <t>0-4</t>
  </si>
  <si>
    <t>Подъезд к п.Металлплощадка</t>
  </si>
  <si>
    <t>0-6</t>
  </si>
  <si>
    <t>0-8,6</t>
  </si>
  <si>
    <t>0-1,3</t>
  </si>
  <si>
    <t>Подъезд к д.Усть- Хмелевка</t>
  </si>
  <si>
    <t>Щегловский-Солнечный</t>
  </si>
  <si>
    <t>0-22,3</t>
  </si>
  <si>
    <t>0-7,5</t>
  </si>
  <si>
    <t>Подъезд к д. Упоровка</t>
  </si>
  <si>
    <t>0-7,4</t>
  </si>
  <si>
    <t>Подъезд к д.Пещерка</t>
  </si>
  <si>
    <t>Подъезд к с.Верхотомское</t>
  </si>
  <si>
    <t>0-5</t>
  </si>
  <si>
    <t>Металлплощадка-Сухово</t>
  </si>
  <si>
    <t>Подъезд к д.Осиновка</t>
  </si>
  <si>
    <t>0-2</t>
  </si>
  <si>
    <t>Подъезд к с.Силино</t>
  </si>
  <si>
    <t>Подъезд к санаторию "Сосновый бор"</t>
  </si>
  <si>
    <t>Кемерово-Андреевка</t>
  </si>
  <si>
    <t>Андреевка-Солонечная</t>
  </si>
  <si>
    <t>0-2,7</t>
  </si>
  <si>
    <t>04М38</t>
  </si>
  <si>
    <t>Тайга-Таловка-Вотиновка</t>
  </si>
  <si>
    <t>0-31</t>
  </si>
  <si>
    <t>04М40</t>
  </si>
  <si>
    <t>04М39</t>
  </si>
  <si>
    <t>Подъезд к с.Таловка</t>
  </si>
  <si>
    <t>04М41</t>
  </si>
  <si>
    <t>Барановка-Новая Балахонка</t>
  </si>
  <si>
    <t>04М30</t>
  </si>
  <si>
    <t>04М25</t>
  </si>
  <si>
    <t>0-9,4</t>
  </si>
  <si>
    <t>04М42</t>
  </si>
  <si>
    <t>ИТОГО:</t>
  </si>
  <si>
    <t>Панфилово-Крапивинский</t>
  </si>
  <si>
    <t>"Панфилово-Крапивинский"-Банново</t>
  </si>
  <si>
    <t>"Панфилово-Крапивинский"-Каменный</t>
  </si>
  <si>
    <t>0-6,5</t>
  </si>
  <si>
    <t>Крапивинский-Поперечное-Каменка</t>
  </si>
  <si>
    <t>Подъезд к с.Тараданово</t>
  </si>
  <si>
    <t>Крапивинский-Зеленогорский</t>
  </si>
  <si>
    <t>Чесноково-Ленинка</t>
  </si>
  <si>
    <t>0-8,8</t>
  </si>
  <si>
    <t>Перехляй-Бердюгино</t>
  </si>
  <si>
    <t>Ленинск-Кузнецкий-Промышленная-Журавлево</t>
  </si>
  <si>
    <t>Ленинск-Кузнецкий-Свердловский</t>
  </si>
  <si>
    <t>Ленинск-Кузнецкий-Новогеоргиевка</t>
  </si>
  <si>
    <t>Ленинск-Кузнецкий-Красноярка-Новопокровка с подъездом к п.Литвиновский</t>
  </si>
  <si>
    <t>Красное-Ариничево</t>
  </si>
  <si>
    <t>Подъезд к п.Мирный</t>
  </si>
  <si>
    <t>Подъезд к п.Чкаловский</t>
  </si>
  <si>
    <t>Подъезд к с.Ваганово</t>
  </si>
  <si>
    <t>Подъезд к с.Шабаново</t>
  </si>
  <si>
    <t>Подъезд к с.Красное</t>
  </si>
  <si>
    <t>Подъезд к п.Егозово</t>
  </si>
  <si>
    <t>Подъезд к с. Драченино</t>
  </si>
  <si>
    <t>Подъезд к д.Новопокасьма</t>
  </si>
  <si>
    <t>Подъезд к д.Соколовка</t>
  </si>
  <si>
    <t>Чкаловский-Ракитный</t>
  </si>
  <si>
    <t>Хрестиновский-Кокуй с подъездом к п. Харьков Лог</t>
  </si>
  <si>
    <t>Ленинск-Кузнецкий-Никитинский</t>
  </si>
  <si>
    <t>0-13,8</t>
  </si>
  <si>
    <t>159,5-204,5</t>
  </si>
  <si>
    <t>Малый Антибес-Колеул</t>
  </si>
  <si>
    <t>Подъезд к с.Малопесчанка</t>
  </si>
  <si>
    <t>0-15,8</t>
  </si>
  <si>
    <t>Тюменево-Малопесчанка</t>
  </si>
  <si>
    <t>Тюменево-Красные Орлы</t>
  </si>
  <si>
    <t>Подъезд к с.Раздольное</t>
  </si>
  <si>
    <t>Мариинск-Калининский</t>
  </si>
  <si>
    <t>Малопесчанка-Кирсановка</t>
  </si>
  <si>
    <t>Подъезд к п.Зенкино</t>
  </si>
  <si>
    <t>Обход г. Мариинска через п.Калининский</t>
  </si>
  <si>
    <t>Тюменево-Петровка</t>
  </si>
  <si>
    <t>Калининский-Мальковка</t>
  </si>
  <si>
    <t>Подъезд к п.Заречный</t>
  </si>
  <si>
    <t>0-1,8</t>
  </si>
  <si>
    <t>Подъезд к с.Тенгулы</t>
  </si>
  <si>
    <t>0-2,8</t>
  </si>
  <si>
    <t>Подъезд к д.Кайдулы</t>
  </si>
  <si>
    <t>0-5,3</t>
  </si>
  <si>
    <t>Малый Антибес-Большой Антибес</t>
  </si>
  <si>
    <t>0-16,8</t>
  </si>
  <si>
    <t>"Новосибирск-Иркутск"-Усть-Серта-Листвянка-Усть-Колба</t>
  </si>
  <si>
    <t>0-17</t>
  </si>
  <si>
    <t>"Новосибирск-Иркутск"-Знаменка</t>
  </si>
  <si>
    <t>Подъезд к с.Суслово (Западный)</t>
  </si>
  <si>
    <t>Подъезд к д. Святогорка</t>
  </si>
  <si>
    <t>0-7,7</t>
  </si>
  <si>
    <t>Подъезд к п. Калининский</t>
  </si>
  <si>
    <t>Новокузнецк-Осинники</t>
  </si>
  <si>
    <t>0-15</t>
  </si>
  <si>
    <t xml:space="preserve">0-49,6
</t>
  </si>
  <si>
    <t>Кузедеево-Мундыбаш-Таштагол</t>
  </si>
  <si>
    <t>0-22</t>
  </si>
  <si>
    <t>Новокузнецк-Березово-Костенково</t>
  </si>
  <si>
    <t>Новокузнецк-Красулино</t>
  </si>
  <si>
    <t>Новокузнецк-п.Таргайский Дом Отдыха</t>
  </si>
  <si>
    <t>Подъезд к п. Рассвет</t>
  </si>
  <si>
    <t>Осинники-Сосновка</t>
  </si>
  <si>
    <t>Подъезд к п. Гавриловка</t>
  </si>
  <si>
    <t>Новокузнецк-Чистогорский</t>
  </si>
  <si>
    <t>0-7</t>
  </si>
  <si>
    <t>Ильинка-Шорохово</t>
  </si>
  <si>
    <t>Подъезд к п. Металлургов</t>
  </si>
  <si>
    <t>Кузедеево-Лыс</t>
  </si>
  <si>
    <t>Новокузнецк-Пушкино</t>
  </si>
  <si>
    <t>Подъезд к с. Бенжереп 1-й</t>
  </si>
  <si>
    <t>Подъезд к с. Бенжереп 2-й</t>
  </si>
  <si>
    <t>Подъезд к с. Сары-Чумыш</t>
  </si>
  <si>
    <t>Подъезд к п. Тайлеп</t>
  </si>
  <si>
    <t>0-0,7</t>
  </si>
  <si>
    <t>Подъезд к с. Атаманово</t>
  </si>
  <si>
    <t>Подъезд к п. ст. Тальжино</t>
  </si>
  <si>
    <t>Новокузнецк-Осиновое Плесо</t>
  </si>
  <si>
    <t>Новокузнецк-Подгорный</t>
  </si>
  <si>
    <t>Недорезово-Малая Талда</t>
  </si>
  <si>
    <t>"Обход г.Новокузнецка"-Красинск-Михайловка</t>
  </si>
  <si>
    <t>Подъезд к п. Калачево</t>
  </si>
  <si>
    <t>Недорезово-Казанково</t>
  </si>
  <si>
    <t>0-10,3</t>
  </si>
  <si>
    <t>Итого:</t>
  </si>
  <si>
    <t>Подъезд к пгт. Ижморский</t>
  </si>
  <si>
    <t>Категория дороги</t>
  </si>
  <si>
    <t>Никитинский-Подгорное-Родниковый с подъездом к п. Ивановка</t>
  </si>
  <si>
    <t>Подъезд к д. Раевка</t>
  </si>
  <si>
    <t>Подъезд к д. Константиновка</t>
  </si>
  <si>
    <t>Подъезд к п. Чистопольский</t>
  </si>
  <si>
    <t>Бийск-Мартыново-Кузедеево-Новокузнецк</t>
  </si>
  <si>
    <t>"Кемерово-Промышленная"-Пор Искитим</t>
  </si>
  <si>
    <t>"Кемерово-Промышленная"- 
с-з "Юбилейный"</t>
  </si>
  <si>
    <t>"Ленинск-Кузнецкий-Промышленная-Журавлево"-Труд</t>
  </si>
  <si>
    <t>"Ленинск-Кузнецкий-Промышленная-Журавлево"-Протопопово</t>
  </si>
  <si>
    <t>Промышленная-Ваганово</t>
  </si>
  <si>
    <t>Подъезд к д.Тарабарино</t>
  </si>
  <si>
    <t>Лебеди-Корбелкино</t>
  </si>
  <si>
    <t>п. Плотниково-д. Плотниково</t>
  </si>
  <si>
    <t>"Промышленная-Ваганово"- Иваново-Родионовский</t>
  </si>
  <si>
    <t>"Промышленная-Ваганово"- Пушкино</t>
  </si>
  <si>
    <t>"Кемерово-Промышленная"-Октябрьский</t>
  </si>
  <si>
    <t>"Промышленная-Ваганово"-Прогресс</t>
  </si>
  <si>
    <t>"Кемерово-Промышленная" -Ушаково</t>
  </si>
  <si>
    <t>0-0,9</t>
  </si>
  <si>
    <t>22-105,3</t>
  </si>
  <si>
    <t>Таштагол-Ключевой</t>
  </si>
  <si>
    <t>Чугунаш-Кондома</t>
  </si>
  <si>
    <t>Таштагол-Шерегеш</t>
  </si>
  <si>
    <t>Таштагол-Спасск</t>
  </si>
  <si>
    <t>Подъезд к пгт. Мундыбаш</t>
  </si>
  <si>
    <t>Таштагол-Усть-Кабырза</t>
  </si>
  <si>
    <t>Ключевой-Чулеш</t>
  </si>
  <si>
    <t>"Таштагол-Алтамаш"-Килинск</t>
  </si>
  <si>
    <t>Калары-Базанча</t>
  </si>
  <si>
    <t>"Ленинск-Кузнецкий-Новокузнецк-Междуреченск"-Бурлаки</t>
  </si>
  <si>
    <t>Подъезд к п.Плодопитомник</t>
  </si>
  <si>
    <t>Карагайла-Октябрьский-Майский</t>
  </si>
  <si>
    <t>Карагайла-Трудармейский-Михайловка</t>
  </si>
  <si>
    <t>Трудармейский-Еловка-Каменный Ключ</t>
  </si>
  <si>
    <t>Подъезд к п.Тихоновка</t>
  </si>
  <si>
    <t>0-6,6</t>
  </si>
  <si>
    <t>Подъезд к д.Антоновка</t>
  </si>
  <si>
    <t>0-2,5</t>
  </si>
  <si>
    <t>Подъезд к с.Калиновка</t>
  </si>
  <si>
    <t>Терентьевское-Большая Талда</t>
  </si>
  <si>
    <t>Прокопьевск-Ясная Поляна</t>
  </si>
  <si>
    <t>Артышта-Кара-Чумыш</t>
  </si>
  <si>
    <t xml:space="preserve"> </t>
  </si>
  <si>
    <t>Тяжинский-Тисуль</t>
  </si>
  <si>
    <t>Тисуль-Солдаткино с подъездом к д.Байла</t>
  </si>
  <si>
    <t>"Тисуль-Солдаткино"-Большой Барандат</t>
  </si>
  <si>
    <t>Тамбар-Большепичугино-Серебряково</t>
  </si>
  <si>
    <t>Подъезд к п.Кинжир</t>
  </si>
  <si>
    <t>Тисуль-Третьяково</t>
  </si>
  <si>
    <t>"Тяжинский-Тисуль"-Колба-Куликовка</t>
  </si>
  <si>
    <t>Тисуль-Утинка-Кондрашка</t>
  </si>
  <si>
    <t>Куликовка-Новоивановка</t>
  </si>
  <si>
    <t>3-41,5</t>
  </si>
  <si>
    <t>"Новосибирск-Иркутск"-Зарубино-Глубокое</t>
  </si>
  <si>
    <t>Подъезд к г.Топки</t>
  </si>
  <si>
    <t>Подъезд к п.Рассвет</t>
  </si>
  <si>
    <t>"Новосибирск-Иркутск"-Раздолье</t>
  </si>
  <si>
    <t>"Новосибирск-Иркутск"-Опарино</t>
  </si>
  <si>
    <t>Подъезд к п.Ключевой</t>
  </si>
  <si>
    <t>Подъезд к д.Чаща</t>
  </si>
  <si>
    <t>Шишино-Усть-Сосново</t>
  </si>
  <si>
    <t>"Шишино-Усть-Сосново"-Бархатово</t>
  </si>
  <si>
    <t>Шишино-Комсомольский-Листвянка</t>
  </si>
  <si>
    <t>0-27</t>
  </si>
  <si>
    <t>Подъезд к п.Мокроусовский</t>
  </si>
  <si>
    <t>0-5,1</t>
  </si>
  <si>
    <t>"Топки-Трещевский-Черемичкино"-Корниловка</t>
  </si>
  <si>
    <t>Топки-Верх-Падунский</t>
  </si>
  <si>
    <t>Верх-Падунский-Катково</t>
  </si>
  <si>
    <t>Верх-Падунский-Среднеберезовский</t>
  </si>
  <si>
    <t>Магистральный-Тыхта</t>
  </si>
  <si>
    <t>Раздолье-Хорошеборка</t>
  </si>
  <si>
    <t>с.Топки-Дедюево</t>
  </si>
  <si>
    <t>Подъезд к п.Верх-Мостовинский</t>
  </si>
  <si>
    <t>"Шишино-Усть-Сосново"-Романовский</t>
  </si>
  <si>
    <t>Центральный-Лукошкино</t>
  </si>
  <si>
    <t>Подъезд к п.Центральный</t>
  </si>
  <si>
    <t>Подъезд к д.Малый Корчуган</t>
  </si>
  <si>
    <t>0-13,3</t>
  </si>
  <si>
    <t>Лукошкино-Шишино</t>
  </si>
  <si>
    <t>2,5-23</t>
  </si>
  <si>
    <t>Итатский-Кубитет-Старый Урюп</t>
  </si>
  <si>
    <t>0-33,6</t>
  </si>
  <si>
    <t>Тяжинский-Ступишино-Сандайка</t>
  </si>
  <si>
    <t>5-28,1</t>
  </si>
  <si>
    <t>Кубитет-Новоподзорново</t>
  </si>
  <si>
    <t>Тяжинский-Листвянка</t>
  </si>
  <si>
    <t>Теплая Речка-Прокопьево</t>
  </si>
  <si>
    <t>Листвянка-Заря-Путятинский</t>
  </si>
  <si>
    <t>Путятинский-Валерьяновка</t>
  </si>
  <si>
    <t>Подъезд к д.Макарово</t>
  </si>
  <si>
    <t>Ступишино-Георгиевка</t>
  </si>
  <si>
    <t>0-1,4</t>
  </si>
  <si>
    <t>Верх-Чебула-Чумай</t>
  </si>
  <si>
    <t>"Новосибирск-Иркутск"-Усть-Чебула-Дмитриевка</t>
  </si>
  <si>
    <t>"Новосибирск-Иркутск"-Новоказанка</t>
  </si>
  <si>
    <t>Подъезд к д.Орлово-Розово</t>
  </si>
  <si>
    <t>Чумай-Карачарово</t>
  </si>
  <si>
    <t>"Новосибирск-Иркутск"-Петропавловка</t>
  </si>
  <si>
    <t>Чумай-Казанка-20</t>
  </si>
  <si>
    <t>Дмитриевка-Усть-Серта</t>
  </si>
  <si>
    <t>Усть-Серта-Шестаково-Кураково</t>
  </si>
  <si>
    <t>Обход д.Курск-Смоленка</t>
  </si>
  <si>
    <t>Проскоково-Макурино</t>
  </si>
  <si>
    <t>Зеледеево-Макурино</t>
  </si>
  <si>
    <t>Подъезд к п.Сокольники</t>
  </si>
  <si>
    <t>Подъезд к с.Варюхино</t>
  </si>
  <si>
    <t>0-0,6</t>
  </si>
  <si>
    <t>Подъезд к д.Зеледеево</t>
  </si>
  <si>
    <t>Подъезд к д.Томилово</t>
  </si>
  <si>
    <t>Подъезд к п.Заозерный</t>
  </si>
  <si>
    <t>Подъезд к с.Проскоково</t>
  </si>
  <si>
    <t>Подъезд к д.Чахлово</t>
  </si>
  <si>
    <t>Подъезд к с.Поперечное</t>
  </si>
  <si>
    <t>Подъезд к п.Логовой</t>
  </si>
  <si>
    <t>Подъезд к д.Старый Шалай</t>
  </si>
  <si>
    <t>Подъезд к д.Каип</t>
  </si>
  <si>
    <t>Подъезд к д.Любаровка</t>
  </si>
  <si>
    <t>Подъезд к п.Приречье</t>
  </si>
  <si>
    <t>Подъезд к д. Филоново</t>
  </si>
  <si>
    <t>Арлюк-Васильевка</t>
  </si>
  <si>
    <t>Западный подъезд к п.Заозерный</t>
  </si>
  <si>
    <t>72,7-82,3</t>
  </si>
  <si>
    <t>3-36,7</t>
  </si>
  <si>
    <t>Данковка-Малиновка</t>
  </si>
  <si>
    <t>Судженка-Кайла-Улановка-Яя</t>
  </si>
  <si>
    <t>Улановка-Медведчиково</t>
  </si>
  <si>
    <t>Новониколаевка-Пономаревка</t>
  </si>
  <si>
    <t xml:space="preserve">  "Анжеро-Судженск-Яя-Ижморский"-Антоновка</t>
  </si>
  <si>
    <t>Пономаревка-Майский</t>
  </si>
  <si>
    <t>Кайла-Вознесенка-Емельяновка</t>
  </si>
  <si>
    <t>0-26,8</t>
  </si>
  <si>
    <t>Подъезд к с.Кайла</t>
  </si>
  <si>
    <t>Вознесенка-Соболинка</t>
  </si>
  <si>
    <t>Красная Горка-Безлесный-Майский</t>
  </si>
  <si>
    <t>0-10,5</t>
  </si>
  <si>
    <t>Анжеро-Судженск-Щербиновка-Назаровка-Соболинка</t>
  </si>
  <si>
    <t>11,4-16,6</t>
  </si>
  <si>
    <t>Подъезд к д.Назаровка</t>
  </si>
  <si>
    <t>Яшкино-Поломошное</t>
  </si>
  <si>
    <t>"Яшкино-Поломошное"- Шахтер</t>
  </si>
  <si>
    <t>Литвиново-Зырянка</t>
  </si>
  <si>
    <t>Зырянка-Нижняя Тайменка</t>
  </si>
  <si>
    <t>Подъезд к д.Дауровка</t>
  </si>
  <si>
    <t>Литвиново-Каленово</t>
  </si>
  <si>
    <t>Подъезд к д.Синеречка</t>
  </si>
  <si>
    <t>"Литвиново-Зырянка"-Акация</t>
  </si>
  <si>
    <t>Ленинский-Юрты-Константиновы</t>
  </si>
  <si>
    <t>Юрты-Константиновы-Усть-Сосновка</t>
  </si>
  <si>
    <t>Пашково-Мелково</t>
  </si>
  <si>
    <t>Мелково-Северная</t>
  </si>
  <si>
    <t>347-377</t>
  </si>
  <si>
    <t>Кемерово-Промышленная</t>
  </si>
  <si>
    <t>Звездный-Благодатный</t>
  </si>
  <si>
    <t>Подъезд к д.Денисово</t>
  </si>
  <si>
    <t>Подъезд к д.Медынино</t>
  </si>
  <si>
    <t>Глубокое-Подонино</t>
  </si>
  <si>
    <t>377-427</t>
  </si>
  <si>
    <t>Подъезд к с.Большеямное</t>
  </si>
  <si>
    <t>Юрга-Пятково</t>
  </si>
  <si>
    <t>Юрга-Юргинский</t>
  </si>
  <si>
    <t>Подъезд к д.Лебяжье-Асаново</t>
  </si>
  <si>
    <t>0-12,5</t>
  </si>
  <si>
    <t>Подъезд к д.Бжицкая</t>
  </si>
  <si>
    <t>Подъезд к д.Шитиково</t>
  </si>
  <si>
    <t>Арлюк-Черный-Падун</t>
  </si>
  <si>
    <t>Юрга-Зимник</t>
  </si>
  <si>
    <t>Подъезд к с.Старый Тяжин</t>
  </si>
  <si>
    <t>Подъезд к п. Октябрьский</t>
  </si>
  <si>
    <t>Подъезд к с.Суслово</t>
  </si>
  <si>
    <t>Подъезд к д.Ключевая</t>
  </si>
  <si>
    <t>Подъезд к д.Акимо-Анненка</t>
  </si>
  <si>
    <t>Подъезд к с.Чулым</t>
  </si>
  <si>
    <t>Подъезд к с.Бороковка</t>
  </si>
  <si>
    <t>Подъезд к с.Борисоглебское</t>
  </si>
  <si>
    <t>Подъезд к д.Новотроицк</t>
  </si>
  <si>
    <t>"Ленинск-Кузнецкий-Новокузнецк-Междуреченск"-Мохово</t>
  </si>
  <si>
    <t>Котино-Тыхта</t>
  </si>
  <si>
    <t>Подъезд к с.Старосергеевка</t>
  </si>
  <si>
    <t>"Белово-Коновалово-Прокопьевск"-п.ст.Терентьевская</t>
  </si>
  <si>
    <t>Бурлаки-Пушкино</t>
  </si>
  <si>
    <t>Подъезд к п.Ускатский</t>
  </si>
  <si>
    <t>Подъезд к п.Чапаевский</t>
  </si>
  <si>
    <t>Абышево-Березово</t>
  </si>
  <si>
    <t>Промышленная-Лебеди</t>
  </si>
  <si>
    <t>0-8,4</t>
  </si>
  <si>
    <t>Подъезд к пгт. Бачатский</t>
  </si>
  <si>
    <t>Урск-Тайгинский леспромхоз</t>
  </si>
  <si>
    <t>Ижморский-с.Ижморка-2-Азаново</t>
  </si>
  <si>
    <t>"Панфилово-Крапивинский"-Борисово</t>
  </si>
  <si>
    <t>Подъезд к д.Покровка</t>
  </si>
  <si>
    <t>Подъезд к  п.Орловский</t>
  </si>
  <si>
    <t>Тюменево-Николаевка 1-я</t>
  </si>
  <si>
    <t>Развязки</t>
  </si>
  <si>
    <t>Обход г. Новокузнецка</t>
  </si>
  <si>
    <t>Подъезд к п. Первомайский</t>
  </si>
  <si>
    <t>Листвяги-Апанас</t>
  </si>
  <si>
    <t>Терентьевское-Кольчегиз</t>
  </si>
  <si>
    <t>"Кемерово-Промышленная"-Плотниково</t>
  </si>
  <si>
    <t>Вознесенка-Усть-Барандат</t>
  </si>
  <si>
    <t>Подъезд к с.Зарубино</t>
  </si>
  <si>
    <t>Топки-Трещевский-Черемичкино</t>
  </si>
  <si>
    <t>Подъезд к  п .Валерьяновка</t>
  </si>
  <si>
    <t>Подъезды к пгт. Верх-Чебула</t>
  </si>
  <si>
    <t>Новоивановский-Новоивановский-4</t>
  </si>
  <si>
    <t>Подъезд к п.4-ый</t>
  </si>
  <si>
    <t>"Анжеро-Судженск-Яя-Ижморский"-Яя-Борик-Бекет-Ишим</t>
  </si>
  <si>
    <t>Подъезд к п.ст.Судженка</t>
  </si>
  <si>
    <t>Яшкино-Пашково с подъездом к п.Ленинский</t>
  </si>
  <si>
    <t>"Новосибирск-Ленинск-Кузнецкий-Кемерово-Юрга"-Белянино</t>
  </si>
  <si>
    <t>Подъезд к д.Почаевка</t>
  </si>
  <si>
    <t>Падунская-Озерки с подъездом к п.ст.Падунская</t>
  </si>
  <si>
    <t>Пор -Искитим-Корбелкино</t>
  </si>
  <si>
    <t>Подъезд к пгт.Яя</t>
  </si>
  <si>
    <t>Подъезд к п.Чиндатский</t>
  </si>
  <si>
    <t>Прокопьевск-Шарап</t>
  </si>
  <si>
    <t>Дороги, км</t>
  </si>
  <si>
    <t xml:space="preserve">в том числе </t>
  </si>
  <si>
    <t>I</t>
  </si>
  <si>
    <t>0-14</t>
  </si>
  <si>
    <t>14-63</t>
  </si>
  <si>
    <t>Терёхино-Cоломино</t>
  </si>
  <si>
    <t>в том числе по категориям</t>
  </si>
  <si>
    <t>Наименование дороги</t>
  </si>
  <si>
    <t>черн. покр.</t>
  </si>
  <si>
    <t>перех. покр.</t>
  </si>
  <si>
    <t>Мосты, шт/пм</t>
  </si>
  <si>
    <t>Верх-Чебула-Алчедат-Новоивановский</t>
  </si>
  <si>
    <t>IV, V</t>
  </si>
  <si>
    <t>3-25</t>
  </si>
  <si>
    <t>25-41,5</t>
  </si>
  <si>
    <t>Малый Корчуган-Цыпино</t>
  </si>
  <si>
    <t>Красноселка-Балахнино</t>
  </si>
  <si>
    <t>Юрты-Константиновы-Сосновый Острог</t>
  </si>
  <si>
    <t>"Белово-Гурьевск-Салаир"-Беково</t>
  </si>
  <si>
    <t>Николаевка 2-я - Милёхино</t>
  </si>
  <si>
    <t>Приметкино - Николаевка 2-я</t>
  </si>
  <si>
    <t>"Суслово-Пихтовка"-Тундинка-Столяровка</t>
  </si>
  <si>
    <t>Подъезд к п. Кузедеево</t>
  </si>
  <si>
    <t>Ильинка-Степной</t>
  </si>
  <si>
    <t>"Кемерово-Промышленная"-Мамаевский</t>
  </si>
  <si>
    <t>"Новосибирск-Иркутск"-п.ст.Арлюк с подъездом к п.Линейный</t>
  </si>
  <si>
    <t>Комсомольск-Берикульский</t>
  </si>
  <si>
    <t>ВСЕГО</t>
  </si>
  <si>
    <t>Тисуль-Комсомольск-Большая Натальевка-Центральный</t>
  </si>
  <si>
    <t>Евтино-Каракан-Пермяки-Каралда с обходом с.Пермяки</t>
  </si>
  <si>
    <t>Подъезд к п.Снежинский</t>
  </si>
  <si>
    <t>"Кемерово-Яшкино-Тайга"-Щегловский-Барановка</t>
  </si>
  <si>
    <t>"Кемерово-Яшкино-Тайга"-Морковкино</t>
  </si>
  <si>
    <t>"Кемерово-Яшкино-Тайга"-Пача</t>
  </si>
  <si>
    <t>"Кемерово-Яшкино-Тайга"-Колмогорово</t>
  </si>
  <si>
    <t>"Панфилово-Крапивинский"-Плотниковский-Березовка</t>
  </si>
  <si>
    <t>"Тисуль-Солдаткино"-Антоново</t>
  </si>
  <si>
    <t>"Тисуль-Комсомольск-Большая Натальевка-Центральный"-Большой Берчикуль-Городок</t>
  </si>
  <si>
    <t>Подъезд к санаторию "Горячий Ключ"</t>
  </si>
  <si>
    <t>Новогеоргиевка-Золоторевский</t>
  </si>
  <si>
    <t>Подъезд к г.Киселевску</t>
  </si>
  <si>
    <t>Подъезд к п.ст.Юрга 2-я</t>
  </si>
  <si>
    <t>"Анжеро-Судженск-Яя-Ижморский"-Новониколаевка</t>
  </si>
  <si>
    <t>Чусовитино-Борисово-Каменка-Арсеново</t>
  </si>
  <si>
    <t>Березовка-Сарапки</t>
  </si>
  <si>
    <t>Подъезд к с. Хмелево</t>
  </si>
  <si>
    <t>Подъезд к д.Трекино</t>
  </si>
  <si>
    <t>Киселевск-Севск</t>
  </si>
  <si>
    <t>Подъезд к д.Терехино</t>
  </si>
  <si>
    <t>Подъезд к д.Елгино</t>
  </si>
  <si>
    <t>"Кемерово-Промышленная"-Ягуново</t>
  </si>
  <si>
    <t>Подъезд к д.Креково</t>
  </si>
  <si>
    <t>Окунево-Усть-Тарсьма</t>
  </si>
  <si>
    <t>Лебеди-Подкопенная</t>
  </si>
  <si>
    <t>"Падунская-Озерки"-Денисовка</t>
  </si>
  <si>
    <t>Подъезд к с.Окунево</t>
  </si>
  <si>
    <t>Окунево-Усть-Каменка-Абышево с подъездом к с.Титово</t>
  </si>
  <si>
    <t>"Окунево-Усть-Каменка-Абышево"-Васьково</t>
  </si>
  <si>
    <t>в том числе:</t>
  </si>
  <si>
    <t>22-30</t>
  </si>
  <si>
    <t>30-105,3</t>
  </si>
  <si>
    <t>III, IV</t>
  </si>
  <si>
    <t>12,2-49,6</t>
  </si>
  <si>
    <t>III,IV</t>
  </si>
  <si>
    <t>"Ленинск-Кузнецкий-Промышленная-Журавлево"-Голубево</t>
  </si>
  <si>
    <t>"Ленинск-Кузнецкий-Промышленная-Журавлево"-Шипицино</t>
  </si>
  <si>
    <t>"Ленинск-Кузнецкий-Промышленная-Журавлево"-Пьяново</t>
  </si>
  <si>
    <t>"Ленинск-Кузнецкий-Промышленная-Журавлево"-Бормотово</t>
  </si>
  <si>
    <t>"Ленинск-Кузнецкий-Промышленная-Журавлево"-Ранний</t>
  </si>
  <si>
    <t>"Ленинск-Кузнецкий-Промышленная-Журавлево"-Новый Исток</t>
  </si>
  <si>
    <t>Пьяново-Шуринка</t>
  </si>
  <si>
    <t>"Терентьевское-Кольчегиз"-Ускатский</t>
  </si>
  <si>
    <t>Маяковка-Киселёвск</t>
  </si>
  <si>
    <t>"Белово-Коновалово-Прокопьевск"-Егултыс-Маяковка</t>
  </si>
  <si>
    <t>Подъезд к с.Котино</t>
  </si>
  <si>
    <t>Подъезд к с.Соколово</t>
  </si>
  <si>
    <t>Николаевка-Северный Кандыш-Калтан</t>
  </si>
  <si>
    <t>регионального или межмуниципального значения,</t>
  </si>
  <si>
    <t xml:space="preserve">   Сеть автомобильных дорог общего пользования</t>
  </si>
  <si>
    <t>"Ленинск-Кузнецкий-Промышленная-Журавлево"-Калтышино</t>
  </si>
  <si>
    <t>Ул.Терешковой-город-спутник "Лесная Поляна"</t>
  </si>
  <si>
    <t>0-5,19</t>
  </si>
  <si>
    <t>Тяжинский-Тяжино-Вершинка-Итатский с подъездом к с.Малопичугино</t>
  </si>
  <si>
    <t>0-0,415</t>
  </si>
  <si>
    <t>Белово-Калиновка</t>
  </si>
  <si>
    <t>Подъезд к г.Белово</t>
  </si>
  <si>
    <t>Ивановка-Новороссийка</t>
  </si>
  <si>
    <t>Подъезд к д.Калиновка</t>
  </si>
  <si>
    <t>Подъезд к д.Конёво</t>
  </si>
  <si>
    <t>Конёво-Проектная</t>
  </si>
  <si>
    <t>0-8,601</t>
  </si>
  <si>
    <t>Подъезд к п.Зеленовский</t>
  </si>
  <si>
    <t>Подъезд к с.Барачаты</t>
  </si>
  <si>
    <t>Подъезд к п.Новый</t>
  </si>
  <si>
    <t>"Новосибирск-Ленинск-Кузнецкий-Кемерово-Юрга"-Кузбасский-Ленинградский</t>
  </si>
  <si>
    <t>Подъезд к д.Пугачи</t>
  </si>
  <si>
    <t>Подъезд к д.Сухая Речка</t>
  </si>
  <si>
    <t>Подъезд к д.Смолино</t>
  </si>
  <si>
    <t>Подъезд к д.Маручак</t>
  </si>
  <si>
    <t>iii</t>
  </si>
  <si>
    <t>iV</t>
  </si>
  <si>
    <t>Панфилово-д.Плотниково</t>
  </si>
  <si>
    <t>0-6,7</t>
  </si>
  <si>
    <t>0-3,08</t>
  </si>
  <si>
    <t>0-1,66</t>
  </si>
  <si>
    <t>Подъезд</t>
  </si>
  <si>
    <t>Стр-цы</t>
  </si>
  <si>
    <t>1-2</t>
  </si>
  <si>
    <t>3-4</t>
  </si>
  <si>
    <t>5-6</t>
  </si>
  <si>
    <t>Белогорск-Горячегорск</t>
  </si>
  <si>
    <t>Николаевка-шахта"Северный Кандыш"</t>
  </si>
  <si>
    <t>0-9,840</t>
  </si>
  <si>
    <t>0-7,960</t>
  </si>
  <si>
    <t>0-10,55</t>
  </si>
  <si>
    <t>0-4,35</t>
  </si>
  <si>
    <t>40-79,54</t>
  </si>
  <si>
    <t>80,055-90</t>
  </si>
  <si>
    <t>0-8,22</t>
  </si>
  <si>
    <t>0-1,740</t>
  </si>
  <si>
    <t>4-16;</t>
  </si>
  <si>
    <t xml:space="preserve">             </t>
  </si>
  <si>
    <t>0-7,11</t>
  </si>
  <si>
    <t>0-6,77</t>
  </si>
  <si>
    <t>0-7,450</t>
  </si>
  <si>
    <t>0-5,214</t>
  </si>
  <si>
    <t>0-4,89</t>
  </si>
  <si>
    <t>0-16,65</t>
  </si>
  <si>
    <t>0-1
0-1,086</t>
  </si>
  <si>
    <t>Транспортные развязки 1+892;4+063</t>
  </si>
  <si>
    <t>0-8,934</t>
  </si>
  <si>
    <t>0-5,07</t>
  </si>
  <si>
    <t>0-1,851</t>
  </si>
  <si>
    <t>0-7,924</t>
  </si>
  <si>
    <t>0-4,255</t>
  </si>
  <si>
    <t xml:space="preserve">III, IV
</t>
  </si>
  <si>
    <t>0-3,625</t>
  </si>
  <si>
    <t>Турочак-Таштагол</t>
  </si>
  <si>
    <t>Чугунаш-спортивно-туристический комплекс "Шерегеш", в т.ч. Подъезд</t>
  </si>
  <si>
    <t xml:space="preserve">44,86-63    </t>
  </si>
  <si>
    <t>0-12,459</t>
  </si>
  <si>
    <t>0-1,463</t>
  </si>
  <si>
    <t>0-5,424</t>
  </si>
  <si>
    <t>0-8,78</t>
  </si>
  <si>
    <t>0-31,589        0-1,9</t>
  </si>
  <si>
    <t xml:space="preserve">  </t>
  </si>
  <si>
    <t>0-6,65</t>
  </si>
  <si>
    <t>0-1,114</t>
  </si>
  <si>
    <t>255-323</t>
  </si>
  <si>
    <t>Подъезд к аэропорту г.Новокузнецк</t>
  </si>
  <si>
    <t>0-4,915</t>
  </si>
  <si>
    <t>Каленово-Октябрьский</t>
  </si>
  <si>
    <t>1-47,62
0-0,88</t>
  </si>
  <si>
    <t>0-4,86</t>
  </si>
  <si>
    <t>0-1,19</t>
  </si>
  <si>
    <t>0-1,41</t>
  </si>
  <si>
    <t>Транспортная развязка, км 0+000</t>
  </si>
  <si>
    <t xml:space="preserve">Транспортная развязка, км  5+400  </t>
  </si>
  <si>
    <t>0,5-2,18</t>
  </si>
  <si>
    <t>0-1,153</t>
  </si>
  <si>
    <t>0-7,277</t>
  </si>
  <si>
    <t>0-2,731</t>
  </si>
  <si>
    <t>0-9,855</t>
  </si>
  <si>
    <t>0-7,72</t>
  </si>
  <si>
    <t>0-0,83</t>
  </si>
  <si>
    <t>0-0,843</t>
  </si>
  <si>
    <t>0-12,426</t>
  </si>
  <si>
    <t>Подъезд к пгт. Тяжинский</t>
  </si>
  <si>
    <t>ООО "РегионДорСтрой"</t>
  </si>
  <si>
    <t>`</t>
  </si>
  <si>
    <t>Подъезд к д.Семёново</t>
  </si>
  <si>
    <t>II,III</t>
  </si>
  <si>
    <t>II,III,IV</t>
  </si>
  <si>
    <t>Протяжен-ность, км</t>
  </si>
  <si>
    <t>Граница обслужи-вания</t>
  </si>
  <si>
    <t>Протяжен-ность,км</t>
  </si>
  <si>
    <t>II,IV</t>
  </si>
  <si>
    <t>IV,V</t>
  </si>
  <si>
    <t xml:space="preserve">  
III</t>
  </si>
  <si>
    <t xml:space="preserve">
III,IV</t>
  </si>
  <si>
    <t>0,68 ; 
0,82</t>
  </si>
  <si>
    <t>В 1ДГ</t>
  </si>
  <si>
    <t>без</t>
  </si>
  <si>
    <t>аэропорт</t>
  </si>
  <si>
    <t>34</t>
  </si>
  <si>
    <t>ОАО "Новокузнецкое ДРСУ" Прокопьевский район</t>
  </si>
  <si>
    <t>11</t>
  </si>
  <si>
    <t>35</t>
  </si>
  <si>
    <t>Для 1ДГ</t>
  </si>
  <si>
    <t>0-0,32</t>
  </si>
  <si>
    <t>0-2,968</t>
  </si>
  <si>
    <t>0-1,712;                                                   2,037-6,119</t>
  </si>
  <si>
    <t>0-16,090</t>
  </si>
  <si>
    <t>0-3,208</t>
  </si>
  <si>
    <t>0-2,149</t>
  </si>
  <si>
    <t>0-3,723</t>
  </si>
  <si>
    <t>0-12,580</t>
  </si>
  <si>
    <t>0-4,106</t>
  </si>
  <si>
    <t>0-0,746
1,094-4,076</t>
  </si>
  <si>
    <t>Подъезд к п. Барзас</t>
  </si>
  <si>
    <t>ЗАО "Тяжинское ДРСУ"</t>
  </si>
  <si>
    <t>ЗАО "Чебулинское ДРСУ"</t>
  </si>
  <si>
    <t>0-0,38  
  1-2,813</t>
  </si>
  <si>
    <t>0-2,333</t>
  </si>
  <si>
    <t>Подъезд к шахте "Лапичевская"</t>
  </si>
  <si>
    <t>6,300-30,899</t>
  </si>
  <si>
    <t>46-84
90,9-113,4</t>
  </si>
  <si>
    <t>IА</t>
  </si>
  <si>
    <t>IБ</t>
  </si>
  <si>
    <t>IВ</t>
  </si>
  <si>
    <t>Полысаевский филиал 
АО "Автодор" (Беловский район)</t>
  </si>
  <si>
    <t>Полысаевский филиал 
АО "Автодор" (Кемеровский район)</t>
  </si>
  <si>
    <t>Полысаевский филиал 
АО "Автодор" (I категория)</t>
  </si>
  <si>
    <t>0-1,932</t>
  </si>
  <si>
    <t>0-3,276</t>
  </si>
  <si>
    <t>0-30,677</t>
  </si>
  <si>
    <t>0-7,942</t>
  </si>
  <si>
    <t>Подъезд к д.Сарапки</t>
  </si>
  <si>
    <t>ОАО "Крапивиноавтодор"</t>
  </si>
  <si>
    <t>0-0,960</t>
  </si>
  <si>
    <t>252-323</t>
  </si>
  <si>
    <t>II, III</t>
  </si>
  <si>
    <t>252-255</t>
  </si>
  <si>
    <t>Новосибирск-Ленинск-Кузнецкий-Кемерово-Юрга, 
в том числе</t>
  </si>
  <si>
    <t>Прокопьевск-Киселевск</t>
  </si>
  <si>
    <t>Подъезд к с.Карагайла</t>
  </si>
  <si>
    <t>0-24,851</t>
  </si>
  <si>
    <t>0-13,514</t>
  </si>
  <si>
    <t>0-6,658</t>
  </si>
  <si>
    <t>6,658-7,924</t>
  </si>
  <si>
    <t>0-3,249</t>
  </si>
  <si>
    <t>0-2,050</t>
  </si>
  <si>
    <t>0-14,520</t>
  </si>
  <si>
    <t>0-4,558</t>
  </si>
  <si>
    <t>0-16,863</t>
  </si>
  <si>
    <t>0-4,32
4,6-25,38</t>
  </si>
  <si>
    <t>0-1,112
1,950-4,078</t>
  </si>
  <si>
    <t>1,42-16,48</t>
  </si>
  <si>
    <t>0-1,266</t>
  </si>
  <si>
    <t>0-70</t>
  </si>
  <si>
    <t>0-12,2
49,6-70</t>
  </si>
  <si>
    <t>ООО "Ресурс"</t>
  </si>
  <si>
    <t xml:space="preserve">
0-14,47
</t>
  </si>
  <si>
    <t xml:space="preserve">
44,86-93
</t>
  </si>
  <si>
    <t>63-92,573</t>
  </si>
  <si>
    <t>0-4,101</t>
  </si>
  <si>
    <t>0-6,130</t>
  </si>
  <si>
    <t>0-6,077</t>
  </si>
  <si>
    <t xml:space="preserve">ОАО "Новокузнецкое ДРСУ" </t>
  </si>
  <si>
    <t>7-8</t>
  </si>
  <si>
    <t>9</t>
  </si>
  <si>
    <t>14</t>
  </si>
  <si>
    <t>23</t>
  </si>
  <si>
    <t>4-27
  35-44,105</t>
  </si>
  <si>
    <t>0-10,967</t>
  </si>
  <si>
    <t>0-5,076</t>
  </si>
  <si>
    <t>36,7-47,692</t>
  </si>
  <si>
    <t>0-5,919</t>
  </si>
  <si>
    <t>0-2,553</t>
  </si>
  <si>
    <t>15,555-46</t>
  </si>
  <si>
    <t>0-6,393
6,865-8,672</t>
  </si>
  <si>
    <t>0-10,118</t>
  </si>
  <si>
    <t>0-0,56
1,08-3,895</t>
  </si>
  <si>
    <t>0-2,567</t>
  </si>
  <si>
    <t>0-1,217</t>
  </si>
  <si>
    <t>4,349-16,572      0-0,29</t>
  </si>
  <si>
    <t>0-1,062</t>
  </si>
  <si>
    <t>0-7,306</t>
  </si>
  <si>
    <t>0-2,925</t>
  </si>
  <si>
    <t>0-37,936</t>
  </si>
  <si>
    <t>0-6,750</t>
  </si>
  <si>
    <t>0-10,385</t>
  </si>
  <si>
    <t>"Кемерово-Елыкаево-Старочервово"-Журавлево</t>
  </si>
  <si>
    <t>0-2,627</t>
  </si>
  <si>
    <t>0-8,369</t>
  </si>
  <si>
    <t>0-2,460</t>
  </si>
  <si>
    <t>0-6,153</t>
  </si>
  <si>
    <t>46-84</t>
  </si>
  <si>
    <t>90,9-113,4</t>
  </si>
  <si>
    <t>0-17,218</t>
  </si>
  <si>
    <t>0-28,691
0-2,383</t>
  </si>
  <si>
    <t>Киселевск-Малиновка-Михайловка, подъезд к п.Малиновка
в том числе</t>
  </si>
  <si>
    <t>4,349-11,156
0-0,29</t>
  </si>
  <si>
    <t>11,156-16,572</t>
  </si>
  <si>
    <t>АО "Кемеровское ДРСУ"</t>
  </si>
  <si>
    <t>Юргинский филиал 
АО "Автодор" (Топкинский район)</t>
  </si>
  <si>
    <t>0-1,403</t>
  </si>
  <si>
    <t>Идентифи-кационный номер</t>
  </si>
  <si>
    <t>32ОПРЗК-1</t>
  </si>
  <si>
    <t>32ОПРЗК-2</t>
  </si>
  <si>
    <t>32ОПРЗК-3</t>
  </si>
  <si>
    <t>32ОПРЗК-4</t>
  </si>
  <si>
    <t>32ОПРЗК-5</t>
  </si>
  <si>
    <t>32ОПРЗК-6</t>
  </si>
  <si>
    <t>32ОПРЗК-7</t>
  </si>
  <si>
    <t>32ОПРЗК-8</t>
  </si>
  <si>
    <t>32ОПРЗК-9</t>
  </si>
  <si>
    <t>32ОПРЗК-10</t>
  </si>
  <si>
    <t>32ОПРЗК-11</t>
  </si>
  <si>
    <t>32ОПРЗК-12</t>
  </si>
  <si>
    <t>32ОПРЗК-13</t>
  </si>
  <si>
    <t>32ОПРЗК-14</t>
  </si>
  <si>
    <t>32ОПРЗК-15</t>
  </si>
  <si>
    <t>32ОПРЗК-16</t>
  </si>
  <si>
    <t>32ОПРЗК-17</t>
  </si>
  <si>
    <t>32ОПРЗК-18</t>
  </si>
  <si>
    <t>32ОПРЗК-19</t>
  </si>
  <si>
    <t>32ОПРЗК-20</t>
  </si>
  <si>
    <t>32ОПРЗК-21</t>
  </si>
  <si>
    <t>32ОПРЗК-22</t>
  </si>
  <si>
    <t>32ОПРЗК-23</t>
  </si>
  <si>
    <t>32ОПРЗК-24</t>
  </si>
  <si>
    <t>32ОПРЗК-26</t>
  </si>
  <si>
    <t>32ОПРЗК-27</t>
  </si>
  <si>
    <t>32ОПРЗК-28</t>
  </si>
  <si>
    <t>32ОПРЗК-29</t>
  </si>
  <si>
    <t>32ОПРЗК-30</t>
  </si>
  <si>
    <t>32ОПРЗК-31</t>
  </si>
  <si>
    <t>32ОПРЗК-32</t>
  </si>
  <si>
    <t>32ОПРЗК-33</t>
  </si>
  <si>
    <t>32ОПРЗК-34</t>
  </si>
  <si>
    <t>32ОПРЗК-35</t>
  </si>
  <si>
    <t>32ОПРЗК-36</t>
  </si>
  <si>
    <t>32ОПРЗК-37</t>
  </si>
  <si>
    <t>32ОПРЗК-38</t>
  </si>
  <si>
    <t>32ОПРЗК-39</t>
  </si>
  <si>
    <t>32ОПРЗК-40</t>
  </si>
  <si>
    <t>32ОПРЗК-41</t>
  </si>
  <si>
    <t>32ОПРЗК-42</t>
  </si>
  <si>
    <t>32ОПРЗК-44</t>
  </si>
  <si>
    <t>32ОПРЗК-45</t>
  </si>
  <si>
    <t>32ОПРЗК-48</t>
  </si>
  <si>
    <t>32ОПРЗК-49</t>
  </si>
  <si>
    <t>32ОПРЗК-50</t>
  </si>
  <si>
    <t>32ОПРЗК-51</t>
  </si>
  <si>
    <t>32ОПРЗК-52</t>
  </si>
  <si>
    <t>32ОПРЗК-53</t>
  </si>
  <si>
    <t>32ОПРЗК-54</t>
  </si>
  <si>
    <t>32ОПРЗК-55</t>
  </si>
  <si>
    <t>32ОПРЗК-56</t>
  </si>
  <si>
    <t>32ОПРЗК-57</t>
  </si>
  <si>
    <t>32ОПРЗК-58</t>
  </si>
  <si>
    <t>32ОПРЗК-59</t>
  </si>
  <si>
    <t>32ОПРЗК-60</t>
  </si>
  <si>
    <t>32ОПРЗК-61</t>
  </si>
  <si>
    <t>32ОПРЗК-62</t>
  </si>
  <si>
    <t>32ОПРЗК-63</t>
  </si>
  <si>
    <t>32ОПРЗК-64</t>
  </si>
  <si>
    <t>32ОПРЗК-65</t>
  </si>
  <si>
    <t>32ОПРЗК-66</t>
  </si>
  <si>
    <t>32ОПРЗК-67</t>
  </si>
  <si>
    <t>32ОПРЗК-68</t>
  </si>
  <si>
    <t>32ОПРЗК-69</t>
  </si>
  <si>
    <t>32ОПРЗК-70</t>
  </si>
  <si>
    <t>32ОПРЗК-71</t>
  </si>
  <si>
    <t>32ОПРЗК-72</t>
  </si>
  <si>
    <t>32ОПРЗК-73</t>
  </si>
  <si>
    <t>32ОПРЗК-74</t>
  </si>
  <si>
    <t>32ОПРЗК-75</t>
  </si>
  <si>
    <t>32ОПРЗК-76</t>
  </si>
  <si>
    <t>32ОПРЗК-77</t>
  </si>
  <si>
    <t>32ОПРЗК-78</t>
  </si>
  <si>
    <t>32ОПРЗК-79</t>
  </si>
  <si>
    <t>32ОПРЗК-80</t>
  </si>
  <si>
    <t>32ОПРЗК-81</t>
  </si>
  <si>
    <t>32ОПРЗК-82</t>
  </si>
  <si>
    <t>32ОПРЗК-83</t>
  </si>
  <si>
    <t>32ОПРЗК-84</t>
  </si>
  <si>
    <t>32ОПРЗК-85</t>
  </si>
  <si>
    <t>32ОПРЗК-86</t>
  </si>
  <si>
    <t>32ОПРЗК-87</t>
  </si>
  <si>
    <t>32ОПРЗК-88</t>
  </si>
  <si>
    <t>32ОПРЗК-89</t>
  </si>
  <si>
    <t>32ОПРЗК-90</t>
  </si>
  <si>
    <t>32ОПРЗК-91</t>
  </si>
  <si>
    <t>32ОПРЗК-92</t>
  </si>
  <si>
    <t>32ОПРЗК-93</t>
  </si>
  <si>
    <t>32ОПРЗК-94</t>
  </si>
  <si>
    <t>32ОПРЗК-95</t>
  </si>
  <si>
    <t>32ОПРЗК-96</t>
  </si>
  <si>
    <t>32ОПРЗК-97</t>
  </si>
  <si>
    <t>32ОПРЗК-106</t>
  </si>
  <si>
    <t>32ОПРЗК-105</t>
  </si>
  <si>
    <t>32ОПРЗК-98</t>
  </si>
  <si>
    <t>32ОПРЗК-99</t>
  </si>
  <si>
    <t>32ОПРЗК-100</t>
  </si>
  <si>
    <t>32ОПРЗК-101</t>
  </si>
  <si>
    <t>32ОПРЗК-102</t>
  </si>
  <si>
    <t>32ОПРЗК-103</t>
  </si>
  <si>
    <t>32ОПРЗК-104</t>
  </si>
  <si>
    <t>32ОПРЗК-107</t>
  </si>
  <si>
    <t>32ОПРЗК-108</t>
  </si>
  <si>
    <t>32ОПРЗК-109</t>
  </si>
  <si>
    <t>32ОПРЗК-110</t>
  </si>
  <si>
    <t>32ОПРЗК-111</t>
  </si>
  <si>
    <t>32ОПРЗК-112</t>
  </si>
  <si>
    <t>32ОПРЗК-113</t>
  </si>
  <si>
    <t>32ОПРЗК-114</t>
  </si>
  <si>
    <t>32ОПРЗК-115</t>
  </si>
  <si>
    <t>32ОПРЗК-116</t>
  </si>
  <si>
    <t>32ОПРЗК-117</t>
  </si>
  <si>
    <t>32ОПРЗК-119</t>
  </si>
  <si>
    <t>32ОПРЗК-120</t>
  </si>
  <si>
    <t>32ОПРЗК-121</t>
  </si>
  <si>
    <t>32ОПРЗК-122</t>
  </si>
  <si>
    <t>32ОПРЗК-123</t>
  </si>
  <si>
    <t>32ОПРЗК-124</t>
  </si>
  <si>
    <t>32ОПРЗК-125</t>
  </si>
  <si>
    <t>32ОПРЗК-126</t>
  </si>
  <si>
    <t>32ОПРЗК-141</t>
  </si>
  <si>
    <t>32ОПРЗК-127</t>
  </si>
  <si>
    <t>32ОПРЗК-128</t>
  </si>
  <si>
    <t>32ОПРЗК-129</t>
  </si>
  <si>
    <t>32ОПРЗК-130</t>
  </si>
  <si>
    <t>32ОПРЗК-131</t>
  </si>
  <si>
    <t>32ОПРЗК-132</t>
  </si>
  <si>
    <t>32ОПРЗК-133</t>
  </si>
  <si>
    <t>32ОПРЗК-134</t>
  </si>
  <si>
    <t>32ОПРЗК-135</t>
  </si>
  <si>
    <t>32ОПРЗК-136</t>
  </si>
  <si>
    <t>32ОПРЗК-137</t>
  </si>
  <si>
    <t>32ОПРЗК-138</t>
  </si>
  <si>
    <t>32ОПРЗК-139</t>
  </si>
  <si>
    <t>32ОПРЗК-140</t>
  </si>
  <si>
    <t>32ОПРЗК-142</t>
  </si>
  <si>
    <t>32ОПРЗК-143</t>
  </si>
  <si>
    <t>32ОПРЗК-144</t>
  </si>
  <si>
    <t>32ОПРЗК-145</t>
  </si>
  <si>
    <t>32ОПРЗК-146</t>
  </si>
  <si>
    <t>32ОПРЗК-147</t>
  </si>
  <si>
    <t>32ОПРЗК-148</t>
  </si>
  <si>
    <t>32ОПРЗК-149</t>
  </si>
  <si>
    <t>32ОПРЗК-150</t>
  </si>
  <si>
    <t>32ОПРЗК-151</t>
  </si>
  <si>
    <t>32ОПРЗК-152</t>
  </si>
  <si>
    <t>32ОПРЗК-153</t>
  </si>
  <si>
    <t>32ОПРЗК-154</t>
  </si>
  <si>
    <t>32ОПРЗК-155</t>
  </si>
  <si>
    <t>32ОПРЗК-156</t>
  </si>
  <si>
    <t>32ОПРЗК-157</t>
  </si>
  <si>
    <t>32ОПРЗК-158</t>
  </si>
  <si>
    <t>32ОПРЗК-159</t>
  </si>
  <si>
    <t>32ОПРЗК-160</t>
  </si>
  <si>
    <t>32ОПРЗК-161</t>
  </si>
  <si>
    <t>32ОПРЗК-162</t>
  </si>
  <si>
    <t>32ОПРЗК-163</t>
  </si>
  <si>
    <t>32ОПРЗК-164</t>
  </si>
  <si>
    <t>32ОПРЗК-165</t>
  </si>
  <si>
    <t>32ОПРЗК-166</t>
  </si>
  <si>
    <t>32ОПРЗК-167</t>
  </si>
  <si>
    <t>32ОПРЗК-168</t>
  </si>
  <si>
    <t>32ОПРЗК-169</t>
  </si>
  <si>
    <t>32ОПРЗК-170</t>
  </si>
  <si>
    <t>32ОПРЗК-171</t>
  </si>
  <si>
    <t>32ОПРЗК-172</t>
  </si>
  <si>
    <t>32ОПРЗК-174</t>
  </si>
  <si>
    <t>32ОПРЗК-173</t>
  </si>
  <si>
    <t>32ОПРЗК-175</t>
  </si>
  <si>
    <t>32ОПРЗК-177</t>
  </si>
  <si>
    <t xml:space="preserve">32ОПРЗК-178
</t>
  </si>
  <si>
    <t>32ОПРЗК-179</t>
  </si>
  <si>
    <t>32ОПРЗК-180</t>
  </si>
  <si>
    <t>32ОПРЗК-181</t>
  </si>
  <si>
    <t>32ОПРЗК-182</t>
  </si>
  <si>
    <t>32ОПРЗК-183</t>
  </si>
  <si>
    <t>32ОПРЗК-184</t>
  </si>
  <si>
    <t>32ОПРЗК-185</t>
  </si>
  <si>
    <t>32ОПРЗК-186</t>
  </si>
  <si>
    <t>32ОПРЗК-187</t>
  </si>
  <si>
    <t>32ОПРЗК-188</t>
  </si>
  <si>
    <t>32ОПРЗК-189</t>
  </si>
  <si>
    <t>32ОПРЗК-190</t>
  </si>
  <si>
    <t>32ОПРЗК-191</t>
  </si>
  <si>
    <t>32ОПРЗК-192</t>
  </si>
  <si>
    <t>32ОПРЗК-193</t>
  </si>
  <si>
    <t>32ОПРЗК-194</t>
  </si>
  <si>
    <t>32ОПРЗК-195</t>
  </si>
  <si>
    <t>32ОПРЗК-196</t>
  </si>
  <si>
    <t>32ОПРЗК-197</t>
  </si>
  <si>
    <t>32ОПРЗК-198</t>
  </si>
  <si>
    <t>32ОПРЗК-199</t>
  </si>
  <si>
    <t>32ОПРЗК-200</t>
  </si>
  <si>
    <t>32ОПРЗК-201</t>
  </si>
  <si>
    <t>32ОПРЗК-202</t>
  </si>
  <si>
    <t>32ОПРЗК-203</t>
  </si>
  <si>
    <t>32ОПРЗК-204</t>
  </si>
  <si>
    <t>32ОПРЗК-205</t>
  </si>
  <si>
    <t>32ОПРЗК-206</t>
  </si>
  <si>
    <t>32ОПРЗК-207</t>
  </si>
  <si>
    <t>32ОПРЗК-208</t>
  </si>
  <si>
    <t>32ОПРЗК-209</t>
  </si>
  <si>
    <t>32ОПРЗК-210</t>
  </si>
  <si>
    <t>32ОПРЗК-211</t>
  </si>
  <si>
    <t>32ОПРЗК-212</t>
  </si>
  <si>
    <t>32ОПРЗК-213</t>
  </si>
  <si>
    <t>32ОПРЗК-214</t>
  </si>
  <si>
    <t>32ОПРЗК-215</t>
  </si>
  <si>
    <t>32ОПРЗК-216</t>
  </si>
  <si>
    <t>32ОПРЗК-217</t>
  </si>
  <si>
    <t>32ОПРЗК-218</t>
  </si>
  <si>
    <t>32ОПРЗК-220</t>
  </si>
  <si>
    <t>32ОПРЗК-221</t>
  </si>
  <si>
    <t>32ОПРЗК-222</t>
  </si>
  <si>
    <t>32ОПРЗК-223</t>
  </si>
  <si>
    <t>32ОПРЗК-224</t>
  </si>
  <si>
    <t>32ОПРЗК-225</t>
  </si>
  <si>
    <t>32ОПРЗК-226</t>
  </si>
  <si>
    <t>32ОПРЗК-227</t>
  </si>
  <si>
    <t>32ОПРЗК-228</t>
  </si>
  <si>
    <t>32ОПРЗК-229</t>
  </si>
  <si>
    <t>32ОПРЗК-230</t>
  </si>
  <si>
    <t>32ОПРЗК-231</t>
  </si>
  <si>
    <t>32ОПРЗК-232</t>
  </si>
  <si>
    <t>32ОПРЗК-233</t>
  </si>
  <si>
    <t>32ОПРЗК-234</t>
  </si>
  <si>
    <t>32ОПРЗК-235</t>
  </si>
  <si>
    <t>32ОПРЗК-236</t>
  </si>
  <si>
    <t>32ОПРЗК-237</t>
  </si>
  <si>
    <t>32ОПРЗК-238</t>
  </si>
  <si>
    <t>32ОПРЗК-239</t>
  </si>
  <si>
    <t>32ОПРЗК-240</t>
  </si>
  <si>
    <t>32ОПРЗК-241</t>
  </si>
  <si>
    <t>32ОПРЗК-242</t>
  </si>
  <si>
    <t>32ОПРЗК-243</t>
  </si>
  <si>
    <t>32ОПРЗК-244</t>
  </si>
  <si>
    <t>32ОПРЗК-245</t>
  </si>
  <si>
    <t>32ОПРЗК-246</t>
  </si>
  <si>
    <t>32ОПРЗК-247</t>
  </si>
  <si>
    <t>32ОПРЗК-248</t>
  </si>
  <si>
    <t>32ОПРЗК-249</t>
  </si>
  <si>
    <t>32ОПРЗК-250</t>
  </si>
  <si>
    <t>32ОПРЗК-251</t>
  </si>
  <si>
    <t>32ОПРЗК-252</t>
  </si>
  <si>
    <t>32ОПРЗК-253</t>
  </si>
  <si>
    <t>32ОПРЗК-254</t>
  </si>
  <si>
    <t>32ОПРЗК-255</t>
  </si>
  <si>
    <t>32ОПРЗК-256</t>
  </si>
  <si>
    <t>32ОПРЗК-257</t>
  </si>
  <si>
    <t>32ОПРЗК-258</t>
  </si>
  <si>
    <t>32ОПРЗК-259</t>
  </si>
  <si>
    <t>32ОПРЗК-260</t>
  </si>
  <si>
    <t>32ОПРЗК-261</t>
  </si>
  <si>
    <t>32ОПРЗК-263</t>
  </si>
  <si>
    <t>32ОПРЗК-264</t>
  </si>
  <si>
    <t>32ОПРЗК-265</t>
  </si>
  <si>
    <t>32ОПРЗК-266</t>
  </si>
  <si>
    <t>32ОПРЗК-267</t>
  </si>
  <si>
    <t>32ОПРЗК-268</t>
  </si>
  <si>
    <t>32ОПРЗК-269</t>
  </si>
  <si>
    <t>32ОПРЗК-271</t>
  </si>
  <si>
    <t>32ОПРЗК-272</t>
  </si>
  <si>
    <t>32ОПРЗК-273</t>
  </si>
  <si>
    <t xml:space="preserve">32ОПРЗК-270 </t>
  </si>
  <si>
    <t>32ОПРЗК-274</t>
  </si>
  <si>
    <t>32ОПРЗК-275</t>
  </si>
  <si>
    <t>32ОПРЗК-276</t>
  </si>
  <si>
    <t>32ОПРЗК-277</t>
  </si>
  <si>
    <t>32ОПРЗК-278</t>
  </si>
  <si>
    <t>32ОПРЗК-279</t>
  </si>
  <si>
    <t>32ОПРЗК-280</t>
  </si>
  <si>
    <t>32ОПРЗК-281</t>
  </si>
  <si>
    <t>32ОПРЗК-282</t>
  </si>
  <si>
    <t>32ОПРЗК-283</t>
  </si>
  <si>
    <t>32ОПРЗК-284</t>
  </si>
  <si>
    <t>32ОПРЗК-285</t>
  </si>
  <si>
    <t>32ОПРЗК-286</t>
  </si>
  <si>
    <t>32ОПРЗК-287</t>
  </si>
  <si>
    <t>32ОПРЗК-288</t>
  </si>
  <si>
    <t>32ОПРЗК-289</t>
  </si>
  <si>
    <t>32ОПРЗК-290</t>
  </si>
  <si>
    <t>32ОПРЗК-291</t>
  </si>
  <si>
    <t>32ОПРЗК-292</t>
  </si>
  <si>
    <t>32ОПРЗК-293</t>
  </si>
  <si>
    <t>32ОПРЗК-294</t>
  </si>
  <si>
    <t>32ОПРЗК-295</t>
  </si>
  <si>
    <t>32ОПРЗК-296</t>
  </si>
  <si>
    <t>32ОПРЗК-297</t>
  </si>
  <si>
    <t>32ОПРЗК-298</t>
  </si>
  <si>
    <t>32ОПРЗК-299</t>
  </si>
  <si>
    <t>32ОПРЗК-300</t>
  </si>
  <si>
    <t>32ОПРЗК-301</t>
  </si>
  <si>
    <t>32ОПРЗК-302</t>
  </si>
  <si>
    <t>32ОПРЗК-303</t>
  </si>
  <si>
    <t>32ОПРЗК-304</t>
  </si>
  <si>
    <t>32ОПРЗК-305</t>
  </si>
  <si>
    <t>32ОПРЗК-306</t>
  </si>
  <si>
    <t>32ОПРЗК-307</t>
  </si>
  <si>
    <t>32ОПРЗК-309</t>
  </si>
  <si>
    <t>32ОПРЗК-310</t>
  </si>
  <si>
    <t>32ОПРЗК-311</t>
  </si>
  <si>
    <t>32ОПРЗК-312</t>
  </si>
  <si>
    <t>32ОПРЗК-314</t>
  </si>
  <si>
    <t>32ОПРЗК-315</t>
  </si>
  <si>
    <t>32ОПРЗК-316</t>
  </si>
  <si>
    <t>32ОПРЗК-317</t>
  </si>
  <si>
    <t>32ОПРЗК-318</t>
  </si>
  <si>
    <t>32ОПРЗК-319</t>
  </si>
  <si>
    <t>32ОПРЗК-320</t>
  </si>
  <si>
    <t>32ОПРЗК-321</t>
  </si>
  <si>
    <t>32ОПРЗК-322</t>
  </si>
  <si>
    <t>32ОПРЗК-323</t>
  </si>
  <si>
    <t>32ОПРЗК-324</t>
  </si>
  <si>
    <t>32ОПРЗК-325</t>
  </si>
  <si>
    <t>32ОПРЗК-326</t>
  </si>
  <si>
    <t>32ОПРЗК-327</t>
  </si>
  <si>
    <t>32ОПРЗК-328</t>
  </si>
  <si>
    <t>32ОПРЗК-329</t>
  </si>
  <si>
    <t>32ОПРЗК-330</t>
  </si>
  <si>
    <t>32ОПРЗК-331</t>
  </si>
  <si>
    <t>32ОПРЗК-332</t>
  </si>
  <si>
    <t>32ОПРЗК-333</t>
  </si>
  <si>
    <t>32ОПРЗК-334</t>
  </si>
  <si>
    <t>32ОПРЗК-335</t>
  </si>
  <si>
    <t>32ОПРЗК-336</t>
  </si>
  <si>
    <t>32ОПРЗК-337</t>
  </si>
  <si>
    <t>32ОПРЗК-338</t>
  </si>
  <si>
    <t>32ОПРЗК-339</t>
  </si>
  <si>
    <t>32ОПРЗК-340</t>
  </si>
  <si>
    <t>32ОПРЗК-341</t>
  </si>
  <si>
    <t>32ОПРЗК-342</t>
  </si>
  <si>
    <t>32ОПРЗК-343</t>
  </si>
  <si>
    <t>32ОПРЗК-344</t>
  </si>
  <si>
    <t>32ОПРЗК-345</t>
  </si>
  <si>
    <t>32ОПРЗК-346</t>
  </si>
  <si>
    <t>32ОПРЗК-347</t>
  </si>
  <si>
    <t>32ОПРЗК-348</t>
  </si>
  <si>
    <t>32ОПРЗК-349</t>
  </si>
  <si>
    <t>32ОПРЗК-350</t>
  </si>
  <si>
    <t>32ОПРЗК-351</t>
  </si>
  <si>
    <t>32ОПРЗК-352</t>
  </si>
  <si>
    <t>32ОПРЗК-353</t>
  </si>
  <si>
    <t>32ОПРЗК-354</t>
  </si>
  <si>
    <t>32ОПРЗК-355</t>
  </si>
  <si>
    <t>32ОПРЗК-356</t>
  </si>
  <si>
    <t>32ОПРЗК-357</t>
  </si>
  <si>
    <t>32ОПРЗК-358</t>
  </si>
  <si>
    <t>32ОПРЗК-359</t>
  </si>
  <si>
    <t>32ОПРЗК-360</t>
  </si>
  <si>
    <t>32ОПРЗК-361</t>
  </si>
  <si>
    <t>32ОПРЗК-362</t>
  </si>
  <si>
    <t>32ОПРЗК-363</t>
  </si>
  <si>
    <t>32ОПРЗК-364</t>
  </si>
  <si>
    <t>32ОПРЗК-365</t>
  </si>
  <si>
    <t>32ОПРЗК-366</t>
  </si>
  <si>
    <t>32ОПРЗК-367</t>
  </si>
  <si>
    <t>32ОПРЗК-368</t>
  </si>
  <si>
    <t>32ОПРЗК-369</t>
  </si>
  <si>
    <t>32ОПРЗК-370</t>
  </si>
  <si>
    <t>32ОПРЗК-371</t>
  </si>
  <si>
    <t>32ОПРЗК-372</t>
  </si>
  <si>
    <t>32ОПРЗК-373</t>
  </si>
  <si>
    <t>32ОПРЗК-374</t>
  </si>
  <si>
    <t>32ОПРЗК-375</t>
  </si>
  <si>
    <t>32ОПРЗК-376</t>
  </si>
  <si>
    <t>32ОПРЗК-377</t>
  </si>
  <si>
    <t>32ОПРЗК-378</t>
  </si>
  <si>
    <t>32ОПРЗК-379</t>
  </si>
  <si>
    <t>32ОПРЗК-380</t>
  </si>
  <si>
    <t>32ОПРЗК-381</t>
  </si>
  <si>
    <t>32ОПРЗК-382</t>
  </si>
  <si>
    <t>32ОПРЗК-383</t>
  </si>
  <si>
    <t>32ОПРЗК-384</t>
  </si>
  <si>
    <t>32ОПРЗК-385</t>
  </si>
  <si>
    <t>32ОПРЗК-386</t>
  </si>
  <si>
    <t>32ОПРЗК-387</t>
  </si>
  <si>
    <t>32ОПРЗК-388</t>
  </si>
  <si>
    <t>32ОПРЗК-389</t>
  </si>
  <si>
    <t>32ОПРЗК-390</t>
  </si>
  <si>
    <t>32ОПРЗК-391</t>
  </si>
  <si>
    <t>32ОПРЗК-392</t>
  </si>
  <si>
    <t>32ОПРЗК-393</t>
  </si>
  <si>
    <t>32ОПРЗК-394</t>
  </si>
  <si>
    <t>32ОПРЗК-395</t>
  </si>
  <si>
    <t>32ОПРЗК-396</t>
  </si>
  <si>
    <t>32ОПРЗК-397</t>
  </si>
  <si>
    <t>32ОПРЗК-399</t>
  </si>
  <si>
    <t>32ОПРЗК-398</t>
  </si>
  <si>
    <t>32ОПРЗК-400</t>
  </si>
  <si>
    <t>32ОПРЗК-401</t>
  </si>
  <si>
    <t>32ОПРЗК-402</t>
  </si>
  <si>
    <t>32ОПРЗК-403</t>
  </si>
  <si>
    <t>32ОПРЗК-404</t>
  </si>
  <si>
    <t>32ОПРЗК-405</t>
  </si>
  <si>
    <t>32ОПРЗК-406</t>
  </si>
  <si>
    <t>32ОПРЗК-407</t>
  </si>
  <si>
    <t>32ОПРЗК-408</t>
  </si>
  <si>
    <t>32ОПРЗК-409</t>
  </si>
  <si>
    <t>32ОПРЗК-410</t>
  </si>
  <si>
    <t>32ОПРЗК-411</t>
  </si>
  <si>
    <t>32ОПРЗК-412</t>
  </si>
  <si>
    <t>32ОПРЗК-413</t>
  </si>
  <si>
    <t>32ОПРЗК-414</t>
  </si>
  <si>
    <t>32ОПРЗК-416</t>
  </si>
  <si>
    <t>32ОПРЗК-417</t>
  </si>
  <si>
    <t>32ОПРЗК-418</t>
  </si>
  <si>
    <t>32ОПРЗК-419</t>
  </si>
  <si>
    <t>32ОПРЗК-420</t>
  </si>
  <si>
    <t>32ОПРЗК-421</t>
  </si>
  <si>
    <t>32ОПРЗК-422</t>
  </si>
  <si>
    <t>32ОПРЗК-423</t>
  </si>
  <si>
    <t>32ОПРЗК-424</t>
  </si>
  <si>
    <t>32ОПРЗК-439</t>
  </si>
  <si>
    <t>32ОПРЗК-434</t>
  </si>
  <si>
    <t>32ОПРЗК-426</t>
  </si>
  <si>
    <t>32ОПРЗК-427</t>
  </si>
  <si>
    <t>32ОПРЗК-430</t>
  </si>
  <si>
    <t>32ОПРЗК-431</t>
  </si>
  <si>
    <t>32ОПРЗК-432</t>
  </si>
  <si>
    <t>32ОПРЗК-433</t>
  </si>
  <si>
    <t>32ОПРЗК-435</t>
  </si>
  <si>
    <t>32ОПРЗК-503</t>
  </si>
  <si>
    <t>32ОПРЗК-590</t>
  </si>
  <si>
    <t>32ОПРЗК-438</t>
  </si>
  <si>
    <t>32ОПРЗК-437</t>
  </si>
  <si>
    <t>32ОПРЗК-436</t>
  </si>
  <si>
    <t>0-2,023</t>
  </si>
  <si>
    <t>0-1,236</t>
  </si>
  <si>
    <t>27-38,696</t>
  </si>
  <si>
    <t>32ОПРЗК-440</t>
  </si>
  <si>
    <t>0-15,4</t>
  </si>
  <si>
    <t>0-5,923</t>
  </si>
  <si>
    <t>0-3,515</t>
  </si>
  <si>
    <t>"Яшкино-Пашково"-Саломатово</t>
  </si>
  <si>
    <t>0-11,022</t>
  </si>
  <si>
    <t>Саломатово-Кулаково</t>
  </si>
  <si>
    <t>Саломатово-Иткара</t>
  </si>
  <si>
    <t>0-1,533</t>
  </si>
  <si>
    <t>0-0,298</t>
  </si>
  <si>
    <t>0-0,945</t>
  </si>
  <si>
    <t>0-2,853</t>
  </si>
  <si>
    <t>0-1,732</t>
  </si>
  <si>
    <t>0-2,217</t>
  </si>
  <si>
    <t>0-2,354</t>
  </si>
  <si>
    <t>0-11,172</t>
  </si>
  <si>
    <t>0-6,114</t>
  </si>
  <si>
    <t>0-11,084</t>
  </si>
  <si>
    <t>0-1,922</t>
  </si>
  <si>
    <t>0-2,090</t>
  </si>
  <si>
    <t>0-2,358</t>
  </si>
  <si>
    <t>0-4,521</t>
  </si>
  <si>
    <t>0-29,714</t>
  </si>
  <si>
    <t>0-6,507</t>
  </si>
  <si>
    <t>0-11,1</t>
  </si>
  <si>
    <t>32ОПРЗК-443</t>
  </si>
  <si>
    <t>32ОПРЗК-441</t>
  </si>
  <si>
    <t>0-5,062</t>
  </si>
  <si>
    <t>Промышленновский филиал АО "Автодор" (Л-Кузнецкий район)</t>
  </si>
  <si>
    <t>0-31,45</t>
  </si>
  <si>
    <t>Белово-Инской</t>
  </si>
  <si>
    <t>Федоровка-Разведчик-Арсентьевка</t>
  </si>
  <si>
    <t>8,280-13,48</t>
  </si>
  <si>
    <t>0-1,593</t>
  </si>
  <si>
    <t>0-3,102</t>
  </si>
  <si>
    <t>32ОПРЗК-429</t>
  </si>
  <si>
    <t>32ОПРЗК-444</t>
  </si>
  <si>
    <t>32ОПРЗР-47</t>
  </si>
  <si>
    <t>0-4,123</t>
  </si>
  <si>
    <t>0-3,3,70</t>
  </si>
  <si>
    <t>0-6,775</t>
  </si>
  <si>
    <t>0-7,273</t>
  </si>
  <si>
    <t>0-2,956</t>
  </si>
  <si>
    <t>0-1,940</t>
  </si>
  <si>
    <t>32ОПРЗР-67</t>
  </si>
  <si>
    <t>0-9,780</t>
  </si>
  <si>
    <t>0-4,786</t>
  </si>
  <si>
    <t>0-5,510</t>
  </si>
  <si>
    <t>0-6,111</t>
  </si>
  <si>
    <t>32ОПРЗР-176</t>
  </si>
  <si>
    <t>0-3,414</t>
  </si>
  <si>
    <t>0-8,990</t>
  </si>
  <si>
    <t>0-4,132</t>
  </si>
  <si>
    <t>0-11,401</t>
  </si>
  <si>
    <t xml:space="preserve"> Бачатский-Старобачаты </t>
  </si>
  <si>
    <t>Промышленновский филиал АО "Автодор" (Промышленновский район)</t>
  </si>
  <si>
    <t>Юргинский филиал 
АО "Автодор" (Юргинский район)</t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</si>
  <si>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АО "Кемеровское ДРСУ"</t>
    </r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</si>
  <si>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Полысаевским филиалом</t>
    </r>
  </si>
  <si>
    <r>
      <t xml:space="preserve">         автомобильных дорог регионального или межмуниципального значения,закрепленных за  </t>
    </r>
    <r>
      <rPr>
        <b/>
        <sz val="9"/>
        <rFont val="Arial Cyr"/>
        <family val="0"/>
      </rPr>
      <t>ОАО "Крапивиноавтодор"</t>
    </r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</si>
  <si>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Полысаевским филиалом</t>
    </r>
    <r>
      <rPr>
        <sz val="10"/>
        <rFont val="Arial Cyr"/>
        <family val="0"/>
      </rPr>
      <t xml:space="preserve"> 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</si>
  <si>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>Промышленновским филиалом</t>
    </r>
    <r>
      <rPr>
        <sz val="10"/>
        <rFont val="Arial Cyr"/>
        <family val="0"/>
      </rPr>
      <t xml:space="preserve"> АО "Автодор"</t>
    </r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</si>
  <si>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ОАО "Новокузнецкое  ДРСУ"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</si>
  <si>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 xml:space="preserve">ОАО "Новокузнецкое  ДРСУ" </t>
    </r>
  </si>
  <si>
    <t xml:space="preserve">         автомобильных дорог регионального или межмуниципального значения,закрепленных за   </t>
  </si>
  <si>
    <r>
      <t xml:space="preserve">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 xml:space="preserve">Промышленновским филиалом 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</si>
  <si>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>АО "Таштагольское ДРСУ"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</si>
  <si>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 xml:space="preserve"> ООО "Ресурс"</t>
    </r>
  </si>
  <si>
    <r>
      <t xml:space="preserve">         автомобильных дорог регионального или межмуниципального значения,закрепленных за  </t>
    </r>
    <r>
      <rPr>
        <b/>
        <sz val="10"/>
        <rFont val="Arial Cyr"/>
        <family val="0"/>
      </rPr>
      <t>ЗАО "Тяжинское ДРСУ"</t>
    </r>
  </si>
  <si>
    <r>
      <t xml:space="preserve">         автомобильных дорог регионального или межмуниципального,закрепленных за  </t>
    </r>
    <r>
      <rPr>
        <b/>
        <sz val="10"/>
        <rFont val="Arial Cyr"/>
        <family val="0"/>
      </rPr>
      <t>ЗАО "Чебулинское ДРСУ"</t>
    </r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</si>
  <si>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Юргинским филиалом 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</si>
  <si>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>ООО "РегионДорСтрой"</t>
    </r>
  </si>
  <si>
    <t>0-11</t>
  </si>
  <si>
    <t xml:space="preserve"> подъезд</t>
  </si>
  <si>
    <t xml:space="preserve">
5-73,4
</t>
  </si>
  <si>
    <t>0-2,290</t>
  </si>
  <si>
    <t>0-5,136</t>
  </si>
  <si>
    <t>0-27,706</t>
  </si>
  <si>
    <t>0-41,354</t>
  </si>
  <si>
    <t>0-15,426</t>
  </si>
  <si>
    <t>Кемерово-Новокузнецк</t>
  </si>
  <si>
    <t>Развязки, км 163+896, 173+393,177+147,184+875</t>
  </si>
  <si>
    <t>2,084
1,717
1,724
1,298</t>
  </si>
  <si>
    <t>Подъезд к пгт.Промышленная</t>
  </si>
  <si>
    <t>0-15,406</t>
  </si>
  <si>
    <t>0-27,021</t>
  </si>
  <si>
    <t>0-8,798</t>
  </si>
  <si>
    <t>0-1,462</t>
  </si>
  <si>
    <t>0-26,891</t>
  </si>
  <si>
    <t>0-4,366</t>
  </si>
  <si>
    <t>0-9,228</t>
  </si>
  <si>
    <t xml:space="preserve"> Подъезды к г.Юрга</t>
  </si>
  <si>
    <t>Тараданово-карьер "Елбак"</t>
  </si>
  <si>
    <t>0-0,854</t>
  </si>
  <si>
    <t>0-18,633</t>
  </si>
  <si>
    <t>0-0,78</t>
  </si>
  <si>
    <t>0-35,507</t>
  </si>
  <si>
    <t>0-0,479</t>
  </si>
  <si>
    <t>обслуживаемая ГКУ  "Дирекция автодорог Кузбасса"</t>
  </si>
  <si>
    <t>32ОПРЗК-118</t>
  </si>
  <si>
    <t>0-1,883</t>
  </si>
  <si>
    <t>0-4,120</t>
  </si>
  <si>
    <t>ООО "Лель"</t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</si>
  <si>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ООО "Лель"</t>
    </r>
  </si>
  <si>
    <t>16</t>
  </si>
  <si>
    <t>25-26</t>
  </si>
  <si>
    <t>27-28</t>
  </si>
  <si>
    <t>Полысаевский филиал 
АО "Автодор" (Гурьевский район)</t>
  </si>
  <si>
    <t>0-15,745</t>
  </si>
  <si>
    <t>0-24,935
0-3,2</t>
  </si>
  <si>
    <t>32ОПРЗК-445</t>
  </si>
  <si>
    <t>13-18,1
18,6-38,505;
0-0,885</t>
  </si>
  <si>
    <t>0-22,268</t>
  </si>
  <si>
    <t>0-17,564</t>
  </si>
  <si>
    <t>0-16,991</t>
  </si>
  <si>
    <t>0-11,338</t>
  </si>
  <si>
    <t>0-9,845</t>
  </si>
  <si>
    <t>0-40,911</t>
  </si>
  <si>
    <t>32ОПРЗК-442</t>
  </si>
  <si>
    <t>32ОПРЗР-43</t>
  </si>
  <si>
    <t>32ОПРЗР-589</t>
  </si>
  <si>
    <t>0-36,762</t>
  </si>
  <si>
    <t>0-3,931</t>
  </si>
  <si>
    <t>0-1,301</t>
  </si>
  <si>
    <t>0-14,354</t>
  </si>
  <si>
    <t>0-10,159</t>
  </si>
  <si>
    <t>0-7,701</t>
  </si>
  <si>
    <t>0-7,366</t>
  </si>
  <si>
    <t>0-1,665</t>
  </si>
  <si>
    <t>0-1,335
0-0,230</t>
  </si>
  <si>
    <t>0-6,990</t>
  </si>
  <si>
    <t>0-1,313</t>
  </si>
  <si>
    <t>0-18,262</t>
  </si>
  <si>
    <t>0-5,163</t>
  </si>
  <si>
    <t>0-4,634</t>
  </si>
  <si>
    <t>0-1,795</t>
  </si>
  <si>
    <t>Транспортные развязки,  км 74+915, 79+928,83+689,87+757,92+361, 97+913,106+737,109+739, 121+551,132+356,137+736, 145+936,155+207,158+483</t>
  </si>
  <si>
    <t>0-17,684</t>
  </si>
  <si>
    <t>30,899-67,904</t>
  </si>
  <si>
    <t>Состав</t>
  </si>
  <si>
    <t>0-11,8</t>
  </si>
  <si>
    <t>0-3,430; 
3,567-19,640</t>
  </si>
  <si>
    <t>0,745             
1,71
0,875
1,7
2,109
2,898
2,745
1,72
0,595
2,265
0,63
2,54
2,105
2,693</t>
  </si>
  <si>
    <t>0-19,986</t>
  </si>
  <si>
    <t>0-14,895
0-2,906</t>
  </si>
  <si>
    <t>0-17,363
0-3,269</t>
  </si>
  <si>
    <t>0-17,057</t>
  </si>
  <si>
    <t>17,057-37,644</t>
  </si>
  <si>
    <t>37,644-49,705</t>
  </si>
  <si>
    <t>0-28,550</t>
  </si>
  <si>
    <t>"Шерегеш-гора Зеленая"-сектор А</t>
  </si>
  <si>
    <t>0-40,793</t>
  </si>
  <si>
    <r>
      <t xml:space="preserve">         автомобильных дорог регионального или межмуниципального значения,закрепленных за  </t>
    </r>
    <r>
      <rPr>
        <b/>
        <sz val="10"/>
        <rFont val="Arial Cyr"/>
        <family val="0"/>
      </rPr>
      <t>ООО "Сократ"</t>
    </r>
  </si>
  <si>
    <t>0-37,6</t>
  </si>
  <si>
    <t>0-2,712; 2,734-11,444; 13,413-13,519;
13,543-13,676; 13,699-26,340</t>
  </si>
  <si>
    <t>0-0,619</t>
  </si>
  <si>
    <t>0-5,348</t>
  </si>
  <si>
    <t>0-3,106</t>
  </si>
  <si>
    <t>0-0,675</t>
  </si>
  <si>
    <t>0-3,808</t>
  </si>
  <si>
    <t>0-8,353</t>
  </si>
  <si>
    <t>0-5,600</t>
  </si>
  <si>
    <t>Транспортные развязки 6+618; 30+077;49+633;67+587</t>
  </si>
  <si>
    <t>164,130-189,62</t>
  </si>
  <si>
    <t xml:space="preserve">ООО "Шушан"
</t>
  </si>
  <si>
    <t>ООО "Сократ"</t>
  </si>
  <si>
    <t>0-10,753; 
10,782-31,927;
0-6,419</t>
  </si>
  <si>
    <t>0-10,753; 10,782-53,467;
0-6,419</t>
  </si>
  <si>
    <t>31,927-53,467</t>
  </si>
  <si>
    <t>0-12,353</t>
  </si>
  <si>
    <t>0-2,238</t>
  </si>
  <si>
    <t>0-6,823</t>
  </si>
  <si>
    <t>0-7,747</t>
  </si>
  <si>
    <t>0-10,537</t>
  </si>
  <si>
    <t>0-1,998</t>
  </si>
  <si>
    <t>0-8,164</t>
  </si>
  <si>
    <t>1-2,813</t>
  </si>
  <si>
    <t>0-1,476</t>
  </si>
  <si>
    <t>0,126-9,991
0-4,119</t>
  </si>
  <si>
    <t>0-4,608</t>
  </si>
  <si>
    <t>0-0,629</t>
  </si>
  <si>
    <t>0-0,720</t>
  </si>
  <si>
    <t>0-3,303</t>
  </si>
  <si>
    <t>0-1,045</t>
  </si>
  <si>
    <t>0-8,141</t>
  </si>
  <si>
    <t>0-1,411</t>
  </si>
  <si>
    <t>0-2,544</t>
  </si>
  <si>
    <t>3-37,269</t>
  </si>
  <si>
    <t>0-3,335</t>
  </si>
  <si>
    <t>0-8,240</t>
  </si>
  <si>
    <t>0-3,095</t>
  </si>
  <si>
    <t>0-10,179</t>
  </si>
  <si>
    <t>2-22,135</t>
  </si>
  <si>
    <t>0-24,329</t>
  </si>
  <si>
    <t>0-7,473</t>
  </si>
  <si>
    <t>0-4,033</t>
  </si>
  <si>
    <t>0-7,911</t>
  </si>
  <si>
    <t>0-0,825</t>
  </si>
  <si>
    <t>0-5,084</t>
  </si>
  <si>
    <t>0-10,284</t>
  </si>
  <si>
    <t>0-0,702</t>
  </si>
  <si>
    <t>0-0,436</t>
  </si>
  <si>
    <t>0-4,009</t>
  </si>
  <si>
    <t>Красные Орлы-Камышинка</t>
  </si>
  <si>
    <t>0-32,592
0-4,208</t>
  </si>
  <si>
    <t>0-11,492
0-1,946</t>
  </si>
  <si>
    <t>0-4,176</t>
  </si>
  <si>
    <t>0-3,669</t>
  </si>
  <si>
    <t>0-4,042</t>
  </si>
  <si>
    <t>0-34,359</t>
  </si>
  <si>
    <t>0-5,475</t>
  </si>
  <si>
    <t>0-19,969</t>
  </si>
  <si>
    <t>0-43,111</t>
  </si>
  <si>
    <t>0-5,854</t>
  </si>
  <si>
    <t>0-15,423</t>
  </si>
  <si>
    <t>0-8,570</t>
  </si>
  <si>
    <t>0-8,950</t>
  </si>
  <si>
    <t>0-4,764</t>
  </si>
  <si>
    <t>0-1,178</t>
  </si>
  <si>
    <t>0-1,832</t>
  </si>
  <si>
    <t>0-16,065</t>
  </si>
  <si>
    <t>0-4,707</t>
  </si>
  <si>
    <t>0-2,76</t>
  </si>
  <si>
    <t>0-0,260</t>
  </si>
  <si>
    <t>0-40,338</t>
  </si>
  <si>
    <t>31,45-40,338</t>
  </si>
  <si>
    <t>0-8,083</t>
  </si>
  <si>
    <t>0-2,730</t>
  </si>
  <si>
    <t>7,6-45,305</t>
  </si>
  <si>
    <t>7,6-26</t>
  </si>
  <si>
    <t>26-45,305</t>
  </si>
  <si>
    <t>1,4-7,264</t>
  </si>
  <si>
    <t>"Кемерово-Елыкаево-Старочервово"-Воскресенка, 
в том числе</t>
  </si>
  <si>
    <t>10-10,967</t>
  </si>
  <si>
    <t>4-55,109</t>
  </si>
  <si>
    <t>0-4,017</t>
  </si>
  <si>
    <t>161,7-246</t>
  </si>
  <si>
    <t>Кузедеево-Мундыбаш-Таштагол на участке "Обход пгт Каз"</t>
  </si>
  <si>
    <t>37,273-66,222</t>
  </si>
  <si>
    <t>16,899-37,273</t>
  </si>
  <si>
    <t>8-16,899</t>
  </si>
  <si>
    <t>0-15,952;      0-0,165</t>
  </si>
  <si>
    <t>по состоянию на 01.01.2024 г</t>
  </si>
  <si>
    <r>
      <t xml:space="preserve"> АО "Автодор" </t>
    </r>
    <r>
      <rPr>
        <b/>
        <sz val="10"/>
        <rFont val="Arial Cyr"/>
        <family val="0"/>
      </rPr>
      <t>(Беловский район)</t>
    </r>
    <r>
      <rPr>
        <sz val="10"/>
        <rFont val="Arial Cyr"/>
        <family val="0"/>
      </rPr>
      <t xml:space="preserve"> по состоянию на 01.01.2024 г.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</si>
  <si>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>Полысаевским филиалом</t>
    </r>
    <r>
      <rPr>
        <sz val="10"/>
        <rFont val="Arial Cyr"/>
        <family val="0"/>
      </rPr>
      <t xml:space="preserve"> АО "Автодор"</t>
    </r>
    <r>
      <rPr>
        <b/>
        <sz val="10"/>
        <rFont val="Arial Cyr"/>
        <family val="0"/>
      </rPr>
      <t xml:space="preserve"> 
(Гурьевский район) </t>
    </r>
    <r>
      <rPr>
        <sz val="10"/>
        <rFont val="Arial Cyr"/>
        <family val="0"/>
      </rPr>
      <t>по состоянию на 01.01.2024 г.</t>
    </r>
  </si>
  <si>
    <t>по состоянию на 01.01.2024 г.</t>
  </si>
  <si>
    <t>по состоянию на 01.01.2024г.</t>
  </si>
  <si>
    <r>
      <t xml:space="preserve">АО "Автодор" по состоянию на 01.01.2024 г. </t>
    </r>
    <r>
      <rPr>
        <b/>
        <sz val="10"/>
        <rFont val="Arial Cyr"/>
        <family val="0"/>
      </rPr>
      <t>(Кемеровский район)</t>
    </r>
  </si>
  <si>
    <r>
      <t xml:space="preserve">   </t>
    </r>
    <r>
      <rPr>
        <b/>
        <sz val="10"/>
        <rFont val="Arial Cyr"/>
        <family val="0"/>
      </rPr>
      <t xml:space="preserve">(Ленинск-Кузнецкий район) </t>
    </r>
    <r>
      <rPr>
        <sz val="10"/>
        <rFont val="Arial Cyr"/>
        <family val="0"/>
      </rPr>
      <t>по состоянию на 01.01.2024 г.</t>
    </r>
  </si>
  <si>
    <t xml:space="preserve">закрепленной за Полысаевским филиалом  АО "Автодор" по состоянию на 01.01.2024 г.
</t>
  </si>
  <si>
    <r>
      <rPr>
        <b/>
        <sz val="10"/>
        <rFont val="Arial Cyr"/>
        <family val="0"/>
      </rPr>
      <t>(Прокопьевский район)</t>
    </r>
    <r>
      <rPr>
        <sz val="10"/>
        <rFont val="Arial Cyr"/>
        <family val="0"/>
      </rPr>
      <t xml:space="preserve"> по состоянию на 01.01.2024 г.</t>
    </r>
  </si>
  <si>
    <r>
      <t xml:space="preserve"> АО "Автодор" </t>
    </r>
    <r>
      <rPr>
        <b/>
        <sz val="10"/>
        <rFont val="Arial Cyr"/>
        <family val="0"/>
      </rPr>
      <t>(Промышленовский район)</t>
    </r>
    <r>
      <rPr>
        <sz val="10"/>
        <rFont val="Arial Cyr"/>
        <family val="0"/>
      </rPr>
      <t xml:space="preserve"> по состоянию на 01.01.2024 г.</t>
    </r>
  </si>
  <si>
    <r>
      <rPr>
        <b/>
        <sz val="10"/>
        <rFont val="Arial Cyr"/>
        <family val="0"/>
      </rPr>
      <t>(Тисульский район)</t>
    </r>
    <r>
      <rPr>
        <sz val="10"/>
        <rFont val="Arial Cyr"/>
        <family val="0"/>
      </rPr>
      <t xml:space="preserve"> по состоянию на 01.01.2024 г.</t>
    </r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</si>
  <si>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Юргинским филиалом</t>
    </r>
    <r>
      <rPr>
        <sz val="10"/>
        <rFont val="Arial Cyr"/>
        <family val="0"/>
      </rPr>
      <t xml:space="preserve"> АО "Автодор" 
</t>
    </r>
    <r>
      <rPr>
        <b/>
        <sz val="10"/>
        <rFont val="Arial Cyr"/>
        <family val="0"/>
      </rPr>
      <t>(Топкинский район)</t>
    </r>
    <r>
      <rPr>
        <sz val="10"/>
        <rFont val="Arial Cyr"/>
        <family val="0"/>
      </rPr>
      <t xml:space="preserve"> по состоянию на 01.01.2024 г.</t>
    </r>
  </si>
  <si>
    <r>
      <rPr>
        <b/>
        <sz val="10"/>
        <rFont val="Arial Cyr"/>
        <family val="0"/>
      </rPr>
      <t>(Юргинский район)</t>
    </r>
    <r>
      <rPr>
        <sz val="10"/>
        <rFont val="Arial Cyr"/>
        <family val="0"/>
      </rPr>
      <t xml:space="preserve">  АО "Автодор" по состоянию на 01.01.2024 г.</t>
    </r>
  </si>
  <si>
    <r>
      <rPr>
        <b/>
        <sz val="10"/>
        <rFont val="Arial Cyr"/>
        <family val="0"/>
      </rPr>
      <t>(Яшкинский район)</t>
    </r>
    <r>
      <rPr>
        <sz val="10"/>
        <rFont val="Arial Cyr"/>
        <family val="0"/>
      </rPr>
      <t xml:space="preserve"> по состоянию на 01.01.2024 г.</t>
    </r>
  </si>
  <si>
    <t>0-1,4
 0-1,709</t>
  </si>
  <si>
    <t>1,043-8,991
10,954-12,516</t>
  </si>
  <si>
    <t>Ленинск-Кузнецкий-Киселевск</t>
  </si>
  <si>
    <t>Прокопьевск-Новокузнецк</t>
  </si>
  <si>
    <t>Новокузнецк-Мыски-Междуреченск</t>
  </si>
  <si>
    <t>46,3-84,490</t>
  </si>
  <si>
    <t>0-11,35</t>
  </si>
  <si>
    <t>0,11,35</t>
  </si>
  <si>
    <t>0-57,937</t>
  </si>
  <si>
    <t>0-5,65</t>
  </si>
  <si>
    <t>5,65-57,937</t>
  </si>
  <si>
    <t xml:space="preserve">147-229
</t>
  </si>
  <si>
    <t>0-164,130</t>
  </si>
  <si>
    <t xml:space="preserve">         автомобильной дороги регионального или межмуниципального значения Кемерово-Новокузнецк, км 0-164,130</t>
  </si>
  <si>
    <t>0-6,300;
67,904-164,130</t>
  </si>
  <si>
    <t>Полысаевский филиал 
АО "Автодор"(Кемерово-Новокузнецк)</t>
  </si>
  <si>
    <t>0-23,580</t>
  </si>
  <si>
    <t>0-6,094</t>
  </si>
  <si>
    <t>0-5,982</t>
  </si>
  <si>
    <t>0-0,807</t>
  </si>
  <si>
    <t>0-2,755</t>
  </si>
  <si>
    <t>0-2,939</t>
  </si>
  <si>
    <t>0-24,109</t>
  </si>
  <si>
    <t>0-13,655</t>
  </si>
  <si>
    <t>0-1,916</t>
  </si>
  <si>
    <t>0-2,073</t>
  </si>
  <si>
    <t>0-5,054</t>
  </si>
  <si>
    <t>0-1,025</t>
  </si>
  <si>
    <t>0-10,562</t>
  </si>
  <si>
    <t>0-7,712</t>
  </si>
  <si>
    <t>0-5,486</t>
  </si>
  <si>
    <t>0-30,305</t>
  </si>
  <si>
    <t>8-66,222</t>
  </si>
  <si>
    <t>53-96,630</t>
  </si>
  <si>
    <t>53-67,77</t>
  </si>
  <si>
    <t>67,77-96,63</t>
  </si>
  <si>
    <t>0-12,045</t>
  </si>
  <si>
    <t>0-4,633</t>
  </si>
  <si>
    <t>0-7,105</t>
  </si>
  <si>
    <t>0-4,861</t>
  </si>
  <si>
    <t>0-1,572</t>
  </si>
  <si>
    <t>0-1,893</t>
  </si>
  <si>
    <t>0-5,978</t>
  </si>
  <si>
    <t>0-2,347</t>
  </si>
  <si>
    <t>5-18,397</t>
  </si>
  <si>
    <t>0-2,459</t>
  </si>
  <si>
    <t>0-2,462</t>
  </si>
  <si>
    <t>0-6,376</t>
  </si>
  <si>
    <t>0-2,882</t>
  </si>
  <si>
    <t>0-1,175</t>
  </si>
  <si>
    <t>0-17,179</t>
  </si>
  <si>
    <t>0-5,543</t>
  </si>
  <si>
    <t>5,543-17,179</t>
  </si>
  <si>
    <t>0-11,831</t>
  </si>
  <si>
    <t>0-7,719</t>
  </si>
  <si>
    <t>0-43,596</t>
  </si>
  <si>
    <t>0-3,170</t>
  </si>
  <si>
    <t>0-6,916</t>
  </si>
  <si>
    <t>0-12,231</t>
  </si>
  <si>
    <t>0-14,346</t>
  </si>
  <si>
    <t>0-4,564</t>
  </si>
  <si>
    <t>0-11,423</t>
  </si>
  <si>
    <t>0-11,269
0-6,334</t>
  </si>
  <si>
    <t>0-7,577</t>
  </si>
  <si>
    <t>0-7,881</t>
  </si>
  <si>
    <t>0-4,829</t>
  </si>
  <si>
    <t>0-5,592</t>
  </si>
  <si>
    <t>0-27,895</t>
  </si>
  <si>
    <t>0-0,624</t>
  </si>
  <si>
    <t>7,8-17,142</t>
  </si>
  <si>
    <t>5,6-8,353</t>
  </si>
  <si>
    <t>Аварийные съезды</t>
  </si>
  <si>
    <t>137-229,25</t>
  </si>
  <si>
    <t>0-4,783, 
13,016-13,613</t>
  </si>
  <si>
    <t>0-3,568
4,313-5,835</t>
  </si>
  <si>
    <t>4,831; 3,752;
2,095;
4,170</t>
  </si>
  <si>
    <t>82,3-159,5</t>
  </si>
  <si>
    <t>0-4;
16-24,109</t>
  </si>
  <si>
    <t>23,580-46,651</t>
  </si>
  <si>
    <t>0-11,077</t>
  </si>
  <si>
    <t>2-11,077</t>
  </si>
  <si>
    <t>10</t>
  </si>
  <si>
    <t>12-13</t>
  </si>
  <si>
    <t>15-16</t>
  </si>
  <si>
    <t>17-19</t>
  </si>
  <si>
    <t>20</t>
  </si>
  <si>
    <t xml:space="preserve">ООО "Шушан" (Прокопьевский район)
</t>
  </si>
  <si>
    <t>21-22</t>
  </si>
  <si>
    <t>23-24</t>
  </si>
  <si>
    <t>29-30</t>
  </si>
  <si>
    <t>31-32</t>
  </si>
  <si>
    <t>33</t>
  </si>
  <si>
    <t>36-37</t>
  </si>
  <si>
    <t>38-39</t>
  </si>
  <si>
    <t>40-41</t>
  </si>
  <si>
    <r>
      <rPr>
        <b/>
        <sz val="10"/>
        <rFont val="Arial Cyr"/>
        <family val="0"/>
      </rPr>
      <t>ООО "Шушан" (Прокопьевскийрайон)</t>
    </r>
    <r>
      <rPr>
        <sz val="10"/>
        <rFont val="Arial Cyr"/>
        <family val="0"/>
      </rPr>
      <t xml:space="preserve"> по состоянию на 01.01.2024 г.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</si>
  <si>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>АО "Мариинскавтодор"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(Ижморский район)  </t>
    </r>
    <r>
      <rPr>
        <sz val="10"/>
        <rFont val="Arial Cyr"/>
        <family val="0"/>
      </rPr>
      <t xml:space="preserve"> по состоянию на 01.01.2024 г.</t>
    </r>
  </si>
  <si>
    <r>
      <t xml:space="preserve">         автомобильных дорог регионального или межмуниципального значения,закрепленных за</t>
    </r>
    <r>
      <rPr>
        <b/>
        <sz val="10"/>
        <rFont val="Arial Cyr"/>
        <family val="0"/>
      </rPr>
      <t xml:space="preserve"> АО "Мариинскавтодор"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(Мариинский район)</t>
    </r>
    <r>
      <rPr>
        <sz val="10"/>
        <rFont val="Arial Cyr"/>
        <family val="0"/>
      </rPr>
      <t xml:space="preserve">  по состоянию на 01.01.2024 г.
</t>
    </r>
  </si>
  <si>
    <r>
      <t xml:space="preserve">         автомобильных дорог регионального или межмуниципального значения,закрепленных за </t>
    </r>
    <r>
      <rPr>
        <b/>
        <sz val="10"/>
        <rFont val="Arial Cyr"/>
        <family val="0"/>
      </rPr>
      <t>АО "Мариинскавтодор"
(Яйский район)</t>
    </r>
    <r>
      <rPr>
        <sz val="10"/>
        <rFont val="Arial Cyr"/>
        <family val="0"/>
      </rPr>
      <t xml:space="preserve">  по состоянию на 01.01.2024 г.</t>
    </r>
  </si>
  <si>
    <r>
      <t xml:space="preserve">        
 автомобильных дорог регионального или межмуниципального значения,закрепленных за  </t>
    </r>
    <r>
      <rPr>
        <b/>
        <sz val="10"/>
        <rFont val="Arial Cyr"/>
        <family val="0"/>
      </rPr>
      <t>АО "Мариинскавтодор"
(Тяжинский район)</t>
    </r>
    <r>
      <rPr>
        <sz val="10"/>
        <rFont val="Arial Cyr"/>
        <family val="0"/>
      </rPr>
      <t xml:space="preserve">  по состоянию на 01.01.2024 г.
</t>
    </r>
  </si>
  <si>
    <t>АО "Мариинскавтодор" (Ижморский район)</t>
  </si>
  <si>
    <t>АО "Мариинскавтодор" (Мариинский район)</t>
  </si>
  <si>
    <t>АО "Мариинскавтодор" (Тяжинский район)</t>
  </si>
  <si>
    <t>АО "Мариинскавтодор"
 (Яйский район)</t>
  </si>
  <si>
    <t>1,2-4,180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</si>
</sst>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"/>
    <numFmt numFmtId="179" formatCode="_-* #,##0.00000_р_._-;\-* #,##0.00000_р_._-;_-* &quot;-&quot;??_р_._-;_-@_-"/>
    <numFmt numFmtId="180" formatCode="_-* #,##0_р_._-;\-* #,##0_р_._-;_-* &quot;-&quot;??_р_._-;_-@_-"/>
    <numFmt numFmtId="181" formatCode="[Blue]\ #,##0_р_.;[Red]\-#,##0_р_."/>
    <numFmt numFmtId="182" formatCode="[Blue]\ #,##0.00_р_.;[Red]\-#,##0.00_р_."/>
    <numFmt numFmtId="183" formatCode="0.000"/>
    <numFmt numFmtId="184" formatCode="_-* #,##0.0_р_._-;\-* #,##0.0_р_._-;_-* &quot;-&quot;??_р_._-;_-@_-"/>
    <numFmt numFmtId="185" formatCode="#,##0.00.;[Red]\-#,##0.00."/>
    <numFmt numFmtId="186" formatCode="[$-FC19]d\ mmmm\ yyyy\ &quot;г.&quot;"/>
    <numFmt numFmtId="187" formatCode="#,##0.00_ ;\-#,##0.00\ "/>
    <numFmt numFmtId="188" formatCode="#,##0.00&quot;р.&quot;"/>
    <numFmt numFmtId="189" formatCode="000000"/>
    <numFmt numFmtId="190" formatCode="#,##0.000"/>
  </numFmts>
  <fonts count="8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9"/>
      <name val="Arial Cyr"/>
      <family val="2"/>
    </font>
    <font>
      <u val="single"/>
      <sz val="9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i/>
      <sz val="9"/>
      <name val="Arial Cyr"/>
      <family val="0"/>
    </font>
    <font>
      <u val="single"/>
      <sz val="10"/>
      <name val="Arial Cyr"/>
      <family val="2"/>
    </font>
    <font>
      <sz val="9"/>
      <color indexed="8"/>
      <name val="Arial Cyr"/>
      <family val="2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9"/>
      <color indexed="8"/>
      <name val="Arial Cyr"/>
      <family val="2"/>
    </font>
    <font>
      <b/>
      <i/>
      <sz val="9"/>
      <color indexed="8"/>
      <name val="Arial Cyr"/>
      <family val="2"/>
    </font>
    <font>
      <sz val="10"/>
      <color indexed="14"/>
      <name val="Arial Cyr"/>
      <family val="0"/>
    </font>
    <font>
      <sz val="12"/>
      <color indexed="62"/>
      <name val="Times New Roman"/>
      <family val="1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i/>
      <sz val="8"/>
      <color indexed="12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u val="single"/>
      <sz val="12"/>
      <name val="Times New Roman"/>
      <family val="1"/>
    </font>
    <font>
      <b/>
      <u val="single"/>
      <sz val="10"/>
      <name val="Arial Cyr"/>
      <family val="2"/>
    </font>
    <font>
      <i/>
      <u val="single"/>
      <sz val="9"/>
      <name val="Arial Cyr"/>
      <family val="2"/>
    </font>
    <font>
      <sz val="10"/>
      <name val="Arial"/>
      <family val="2"/>
    </font>
    <font>
      <b/>
      <sz val="8"/>
      <name val="Arial Cyr"/>
      <family val="0"/>
    </font>
    <font>
      <b/>
      <i/>
      <u val="single"/>
      <sz val="9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u val="single"/>
      <sz val="9"/>
      <color indexed="40"/>
      <name val="Arial Cyr"/>
      <family val="2"/>
    </font>
    <font>
      <sz val="9"/>
      <color indexed="40"/>
      <name val="Arial Cyr"/>
      <family val="2"/>
    </font>
    <font>
      <sz val="9"/>
      <color indexed="10"/>
      <name val="Arial Cyr"/>
      <family val="0"/>
    </font>
    <font>
      <b/>
      <sz val="9"/>
      <color indexed="40"/>
      <name val="Arial Cyr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u val="single"/>
      <sz val="9"/>
      <color rgb="FF00B0F0"/>
      <name val="Arial Cyr"/>
      <family val="2"/>
    </font>
    <font>
      <sz val="9"/>
      <color rgb="FF00B0F0"/>
      <name val="Arial Cyr"/>
      <family val="2"/>
    </font>
    <font>
      <sz val="9"/>
      <color rgb="FFFF0000"/>
      <name val="Arial Cyr"/>
      <family val="0"/>
    </font>
    <font>
      <b/>
      <sz val="9"/>
      <color rgb="FF00B0F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8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distributed" wrapText="1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vertical="distributed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distributed" wrapText="1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3" fontId="1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183" fontId="7" fillId="0" borderId="0" xfId="0" applyNumberFormat="1" applyFont="1" applyAlignment="1">
      <alignment/>
    </xf>
    <xf numFmtId="183" fontId="13" fillId="0" borderId="17" xfId="0" applyNumberFormat="1" applyFont="1" applyBorder="1" applyAlignment="1">
      <alignment horizontal="right"/>
    </xf>
    <xf numFmtId="183" fontId="13" fillId="0" borderId="17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distributed" wrapText="1"/>
    </xf>
    <xf numFmtId="0" fontId="12" fillId="32" borderId="17" xfId="0" applyFont="1" applyFill="1" applyBorder="1" applyAlignment="1">
      <alignment horizontal="center"/>
    </xf>
    <xf numFmtId="0" fontId="12" fillId="32" borderId="17" xfId="0" applyFont="1" applyFill="1" applyBorder="1" applyAlignment="1">
      <alignment/>
    </xf>
    <xf numFmtId="0" fontId="12" fillId="32" borderId="17" xfId="0" applyFont="1" applyFill="1" applyBorder="1" applyAlignment="1">
      <alignment horizontal="center" wrapText="1"/>
    </xf>
    <xf numFmtId="0" fontId="16" fillId="32" borderId="17" xfId="0" applyFont="1" applyFill="1" applyBorder="1" applyAlignment="1">
      <alignment horizontal="center"/>
    </xf>
    <xf numFmtId="183" fontId="12" fillId="32" borderId="17" xfId="0" applyNumberFormat="1" applyFont="1" applyFill="1" applyBorder="1" applyAlignment="1">
      <alignment/>
    </xf>
    <xf numFmtId="183" fontId="22" fillId="0" borderId="17" xfId="0" applyNumberFormat="1" applyFont="1" applyBorder="1" applyAlignment="1">
      <alignment/>
    </xf>
    <xf numFmtId="0" fontId="23" fillId="0" borderId="17" xfId="0" applyFont="1" applyBorder="1" applyAlignment="1">
      <alignment horizontal="center" vertical="distributed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7" xfId="0" applyFont="1" applyBorder="1" applyAlignment="1">
      <alignment horizontal="center" wrapText="1"/>
    </xf>
    <xf numFmtId="183" fontId="23" fillId="0" borderId="17" xfId="0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183" fontId="8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25" fillId="0" borderId="0" xfId="0" applyFont="1" applyAlignment="1">
      <alignment/>
    </xf>
    <xf numFmtId="1" fontId="7" fillId="0" borderId="0" xfId="0" applyNumberFormat="1" applyFont="1" applyAlignment="1">
      <alignment/>
    </xf>
    <xf numFmtId="183" fontId="12" fillId="0" borderId="17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" fontId="8" fillId="0" borderId="0" xfId="0" applyNumberFormat="1" applyFont="1" applyAlignment="1">
      <alignment/>
    </xf>
    <xf numFmtId="0" fontId="26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183" fontId="8" fillId="0" borderId="26" xfId="0" applyNumberFormat="1" applyFont="1" applyBorder="1" applyAlignment="1">
      <alignment/>
    </xf>
    <xf numFmtId="1" fontId="9" fillId="0" borderId="26" xfId="0" applyNumberFormat="1" applyFont="1" applyBorder="1" applyAlignment="1">
      <alignment horizontal="center"/>
    </xf>
    <xf numFmtId="183" fontId="8" fillId="0" borderId="27" xfId="0" applyNumberFormat="1" applyFont="1" applyBorder="1" applyAlignment="1">
      <alignment/>
    </xf>
    <xf numFmtId="1" fontId="8" fillId="0" borderId="27" xfId="0" applyNumberFormat="1" applyFont="1" applyBorder="1" applyAlignment="1">
      <alignment horizontal="center"/>
    </xf>
    <xf numFmtId="183" fontId="21" fillId="0" borderId="26" xfId="0" applyNumberFormat="1" applyFont="1" applyBorder="1" applyAlignment="1">
      <alignment/>
    </xf>
    <xf numFmtId="183" fontId="19" fillId="0" borderId="27" xfId="0" applyNumberFormat="1" applyFont="1" applyBorder="1" applyAlignment="1">
      <alignment/>
    </xf>
    <xf numFmtId="1" fontId="8" fillId="0" borderId="26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6" xfId="0" applyNumberFormat="1" applyFont="1" applyBorder="1" applyAlignment="1">
      <alignment/>
    </xf>
    <xf numFmtId="183" fontId="21" fillId="0" borderId="24" xfId="0" applyNumberFormat="1" applyFont="1" applyBorder="1" applyAlignment="1">
      <alignment/>
    </xf>
    <xf numFmtId="183" fontId="8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3" fontId="8" fillId="0" borderId="28" xfId="0" applyNumberFormat="1" applyFont="1" applyBorder="1" applyAlignment="1">
      <alignment/>
    </xf>
    <xf numFmtId="183" fontId="19" fillId="0" borderId="28" xfId="0" applyNumberFormat="1" applyFont="1" applyBorder="1" applyAlignment="1">
      <alignment/>
    </xf>
    <xf numFmtId="183" fontId="8" fillId="0" borderId="2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9" fillId="0" borderId="17" xfId="0" applyFont="1" applyBorder="1" applyAlignment="1">
      <alignment horizontal="center" vertical="distributed" wrapText="1"/>
    </xf>
    <xf numFmtId="0" fontId="30" fillId="0" borderId="17" xfId="0" applyFont="1" applyBorder="1" applyAlignment="1">
      <alignment horizontal="center"/>
    </xf>
    <xf numFmtId="0" fontId="27" fillId="0" borderId="17" xfId="0" applyFont="1" applyBorder="1" applyAlignment="1">
      <alignment/>
    </xf>
    <xf numFmtId="183" fontId="30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2" xfId="0" applyFont="1" applyBorder="1" applyAlignment="1">
      <alignment/>
    </xf>
    <xf numFmtId="183" fontId="27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/>
    </xf>
    <xf numFmtId="183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11" fillId="0" borderId="31" xfId="0" applyFont="1" applyBorder="1" applyAlignment="1">
      <alignment horizontal="center" vertical="center"/>
    </xf>
    <xf numFmtId="183" fontId="13" fillId="0" borderId="12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83" fontId="26" fillId="0" borderId="0" xfId="0" applyNumberFormat="1" applyFont="1" applyBorder="1" applyAlignment="1">
      <alignment/>
    </xf>
    <xf numFmtId="183" fontId="8" fillId="0" borderId="28" xfId="0" applyNumberFormat="1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183" fontId="8" fillId="0" borderId="25" xfId="0" applyNumberFormat="1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183" fontId="13" fillId="0" borderId="12" xfId="0" applyNumberFormat="1" applyFont="1" applyBorder="1" applyAlignment="1">
      <alignment horizontal="right"/>
    </xf>
    <xf numFmtId="183" fontId="7" fillId="0" borderId="24" xfId="0" applyNumberFormat="1" applyFont="1" applyBorder="1" applyAlignment="1">
      <alignment/>
    </xf>
    <xf numFmtId="0" fontId="7" fillId="0" borderId="28" xfId="0" applyFont="1" applyBorder="1" applyAlignment="1">
      <alignment/>
    </xf>
    <xf numFmtId="1" fontId="32" fillId="0" borderId="24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183" fontId="18" fillId="0" borderId="0" xfId="0" applyNumberFormat="1" applyFont="1" applyBorder="1" applyAlignment="1">
      <alignment/>
    </xf>
    <xf numFmtId="1" fontId="7" fillId="0" borderId="28" xfId="0" applyNumberFormat="1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distributed" wrapText="1"/>
    </xf>
    <xf numFmtId="0" fontId="12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1" fontId="9" fillId="0" borderId="3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3" fillId="0" borderId="12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 vertical="distributed" wrapText="1"/>
    </xf>
    <xf numFmtId="183" fontId="13" fillId="0" borderId="17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37" xfId="0" applyFont="1" applyBorder="1" applyAlignment="1">
      <alignment/>
    </xf>
    <xf numFmtId="2" fontId="0" fillId="0" borderId="0" xfId="0" applyNumberFormat="1" applyFont="1" applyAlignment="1">
      <alignment/>
    </xf>
    <xf numFmtId="2" fontId="3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83" fontId="7" fillId="0" borderId="28" xfId="0" applyNumberFormat="1" applyFont="1" applyBorder="1" applyAlignment="1">
      <alignment/>
    </xf>
    <xf numFmtId="183" fontId="12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30" xfId="0" applyFont="1" applyFill="1" applyBorder="1" applyAlignment="1">
      <alignment/>
    </xf>
    <xf numFmtId="2" fontId="3" fillId="33" borderId="30" xfId="0" applyNumberFormat="1" applyFont="1" applyFill="1" applyBorder="1" applyAlignment="1">
      <alignment horizontal="center"/>
    </xf>
    <xf numFmtId="1" fontId="3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/>
    </xf>
    <xf numFmtId="1" fontId="20" fillId="33" borderId="26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/>
    </xf>
    <xf numFmtId="183" fontId="12" fillId="33" borderId="17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183" fontId="2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3" fontId="12" fillId="33" borderId="12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1" fillId="0" borderId="39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183" fontId="2" fillId="0" borderId="30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1" fillId="33" borderId="39" xfId="0" applyFont="1" applyFill="1" applyBorder="1" applyAlignment="1">
      <alignment horizontal="center" vertical="center"/>
    </xf>
    <xf numFmtId="2" fontId="2" fillId="33" borderId="40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183" fontId="12" fillId="33" borderId="30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distributed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10" fillId="33" borderId="39" xfId="0" applyFont="1" applyFill="1" applyBorder="1" applyAlignment="1">
      <alignment horizontal="center"/>
    </xf>
    <xf numFmtId="2" fontId="3" fillId="33" borderId="38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/>
    </xf>
    <xf numFmtId="183" fontId="12" fillId="0" borderId="1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3" fillId="0" borderId="23" xfId="0" applyFont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83" fontId="3" fillId="0" borderId="23" xfId="0" applyNumberFormat="1" applyFont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183" fontId="1" fillId="0" borderId="23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top"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183" fontId="3" fillId="0" borderId="3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40" xfId="0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6" fillId="33" borderId="23" xfId="0" applyFont="1" applyFill="1" applyBorder="1" applyAlignment="1">
      <alignment horizontal="center" vertical="center"/>
    </xf>
    <xf numFmtId="0" fontId="76" fillId="33" borderId="26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77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183" fontId="8" fillId="33" borderId="26" xfId="0" applyNumberFormat="1" applyFont="1" applyFill="1" applyBorder="1" applyAlignment="1">
      <alignment/>
    </xf>
    <xf numFmtId="183" fontId="8" fillId="33" borderId="24" xfId="0" applyNumberFormat="1" applyFont="1" applyFill="1" applyBorder="1" applyAlignment="1">
      <alignment/>
    </xf>
    <xf numFmtId="1" fontId="9" fillId="33" borderId="24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1" fontId="9" fillId="33" borderId="33" xfId="0" applyNumberFormat="1" applyFont="1" applyFill="1" applyBorder="1" applyAlignment="1">
      <alignment horizontal="center"/>
    </xf>
    <xf numFmtId="183" fontId="8" fillId="33" borderId="27" xfId="0" applyNumberFormat="1" applyFont="1" applyFill="1" applyBorder="1" applyAlignment="1">
      <alignment/>
    </xf>
    <xf numFmtId="183" fontId="8" fillId="33" borderId="28" xfId="0" applyNumberFormat="1" applyFont="1" applyFill="1" applyBorder="1" applyAlignment="1">
      <alignment/>
    </xf>
    <xf numFmtId="1" fontId="8" fillId="33" borderId="27" xfId="0" applyNumberFormat="1" applyFont="1" applyFill="1" applyBorder="1" applyAlignment="1">
      <alignment horizontal="center"/>
    </xf>
    <xf numFmtId="1" fontId="8" fillId="33" borderId="28" xfId="0" applyNumberFormat="1" applyFont="1" applyFill="1" applyBorder="1" applyAlignment="1">
      <alignment horizontal="center"/>
    </xf>
    <xf numFmtId="1" fontId="8" fillId="33" borderId="34" xfId="0" applyNumberFormat="1" applyFont="1" applyFill="1" applyBorder="1" applyAlignment="1">
      <alignment horizontal="center"/>
    </xf>
    <xf numFmtId="183" fontId="8" fillId="33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2" fillId="33" borderId="3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3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top"/>
    </xf>
    <xf numFmtId="0" fontId="2" fillId="33" borderId="43" xfId="0" applyFont="1" applyFill="1" applyBorder="1" applyAlignment="1">
      <alignment horizontal="center" vertical="top"/>
    </xf>
    <xf numFmtId="0" fontId="2" fillId="33" borderId="44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distributed" wrapText="1"/>
    </xf>
    <xf numFmtId="183" fontId="13" fillId="33" borderId="12" xfId="0" applyNumberFormat="1" applyFont="1" applyFill="1" applyBorder="1" applyAlignment="1">
      <alignment/>
    </xf>
    <xf numFmtId="0" fontId="15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/>
    </xf>
    <xf numFmtId="183" fontId="13" fillId="33" borderId="17" xfId="0" applyNumberFormat="1" applyFont="1" applyFill="1" applyBorder="1" applyAlignment="1">
      <alignment/>
    </xf>
    <xf numFmtId="0" fontId="15" fillId="33" borderId="17" xfId="0" applyFont="1" applyFill="1" applyBorder="1" applyAlignment="1">
      <alignment horizontal="center" vertical="distributed" wrapText="1"/>
    </xf>
    <xf numFmtId="0" fontId="15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183" fontId="12" fillId="33" borderId="17" xfId="0" applyNumberFormat="1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7" xfId="0" applyFont="1" applyFill="1" applyBorder="1" applyAlignment="1">
      <alignment horizontal="center" vertical="distributed" wrapText="1"/>
    </xf>
    <xf numFmtId="0" fontId="16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83" fontId="2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2" fontId="3" fillId="33" borderId="40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183" fontId="3" fillId="33" borderId="37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2" fontId="3" fillId="33" borderId="27" xfId="0" applyNumberFormat="1" applyFont="1" applyFill="1" applyBorder="1" applyAlignment="1">
      <alignment horizontal="center" vertical="top"/>
    </xf>
    <xf numFmtId="0" fontId="3" fillId="33" borderId="38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 vertical="center"/>
    </xf>
    <xf numFmtId="2" fontId="16" fillId="33" borderId="30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/>
    </xf>
    <xf numFmtId="183" fontId="16" fillId="33" borderId="17" xfId="0" applyNumberFormat="1" applyFont="1" applyFill="1" applyBorder="1" applyAlignment="1">
      <alignment horizontal="center" vertical="center"/>
    </xf>
    <xf numFmtId="183" fontId="16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183" fontId="16" fillId="33" borderId="12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83" fontId="16" fillId="33" borderId="1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2" fontId="3" fillId="33" borderId="37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center" wrapText="1"/>
    </xf>
    <xf numFmtId="2" fontId="16" fillId="33" borderId="18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3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37" xfId="0" applyNumberFormat="1" applyFont="1" applyFill="1" applyBorder="1" applyAlignment="1">
      <alignment horizontal="center" vertical="center" wrapText="1"/>
    </xf>
    <xf numFmtId="183" fontId="8" fillId="0" borderId="27" xfId="0" applyNumberFormat="1" applyFont="1" applyBorder="1" applyAlignment="1">
      <alignment horizontal="center"/>
    </xf>
    <xf numFmtId="183" fontId="8" fillId="33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33" borderId="3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33" borderId="2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2" fillId="33" borderId="3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/>
    </xf>
    <xf numFmtId="183" fontId="2" fillId="33" borderId="3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183" fontId="2" fillId="33" borderId="17" xfId="0" applyNumberFormat="1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2" fillId="33" borderId="40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2" fontId="3" fillId="33" borderId="30" xfId="0" applyNumberFormat="1" applyFont="1" applyFill="1" applyBorder="1" applyAlignment="1">
      <alignment horizontal="center"/>
    </xf>
    <xf numFmtId="1" fontId="3" fillId="33" borderId="30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2" fontId="3" fillId="33" borderId="40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183" fontId="3" fillId="33" borderId="37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83" fontId="12" fillId="33" borderId="11" xfId="0" applyNumberFormat="1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183" fontId="12" fillId="33" borderId="30" xfId="0" applyNumberFormat="1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center" vertical="center"/>
    </xf>
    <xf numFmtId="2" fontId="12" fillId="33" borderId="3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10" fillId="33" borderId="3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183" fontId="1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183" fontId="2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2" fontId="3" fillId="33" borderId="38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center"/>
    </xf>
    <xf numFmtId="0" fontId="33" fillId="33" borderId="23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2" fontId="2" fillId="33" borderId="47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2" fontId="12" fillId="33" borderId="18" xfId="0" applyNumberFormat="1" applyFont="1" applyFill="1" applyBorder="1" applyAlignment="1">
      <alignment horizontal="center" vertical="center"/>
    </xf>
    <xf numFmtId="183" fontId="12" fillId="33" borderId="38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7" fontId="2" fillId="33" borderId="11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2" fontId="2" fillId="34" borderId="38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83" fontId="1" fillId="0" borderId="3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78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83" fontId="13" fillId="33" borderId="11" xfId="0" applyNumberFormat="1" applyFont="1" applyFill="1" applyBorder="1" applyAlignment="1">
      <alignment horizontal="center" vertical="center"/>
    </xf>
    <xf numFmtId="183" fontId="13" fillId="33" borderId="30" xfId="0" applyNumberFormat="1" applyFont="1" applyFill="1" applyBorder="1" applyAlignment="1">
      <alignment horizontal="center" vertical="center"/>
    </xf>
    <xf numFmtId="183" fontId="2" fillId="33" borderId="48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183" fontId="2" fillId="33" borderId="30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3" fontId="3" fillId="33" borderId="1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183" fontId="2" fillId="33" borderId="30" xfId="0" applyNumberFormat="1" applyFont="1" applyFill="1" applyBorder="1" applyAlignment="1">
      <alignment horizontal="center" vertical="center"/>
    </xf>
    <xf numFmtId="183" fontId="3" fillId="33" borderId="23" xfId="0" applyNumberFormat="1" applyFont="1" applyFill="1" applyBorder="1" applyAlignment="1">
      <alignment horizontal="center" vertical="center"/>
    </xf>
    <xf numFmtId="183" fontId="3" fillId="33" borderId="3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 wrapText="1"/>
    </xf>
    <xf numFmtId="183" fontId="2" fillId="33" borderId="30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83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183" fontId="2" fillId="33" borderId="38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83" fontId="3" fillId="33" borderId="11" xfId="0" applyNumberFormat="1" applyFont="1" applyFill="1" applyBorder="1" applyAlignment="1">
      <alignment horizontal="center" vertical="center"/>
    </xf>
    <xf numFmtId="183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8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183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33" borderId="38" xfId="0" applyNumberFormat="1" applyFont="1" applyFill="1" applyBorder="1" applyAlignment="1">
      <alignment horizontal="center" vertical="center"/>
    </xf>
    <xf numFmtId="2" fontId="3" fillId="33" borderId="38" xfId="0" applyNumberFormat="1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top"/>
    </xf>
    <xf numFmtId="0" fontId="15" fillId="33" borderId="30" xfId="0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183" fontId="2" fillId="33" borderId="27" xfId="0" applyNumberFormat="1" applyFont="1" applyFill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183" fontId="3" fillId="33" borderId="31" xfId="0" applyNumberFormat="1" applyFont="1" applyFill="1" applyBorder="1" applyAlignment="1">
      <alignment horizontal="center" vertical="center"/>
    </xf>
    <xf numFmtId="183" fontId="3" fillId="33" borderId="19" xfId="0" applyNumberFormat="1" applyFont="1" applyFill="1" applyBorder="1" applyAlignment="1">
      <alignment horizontal="center" vertical="center"/>
    </xf>
    <xf numFmtId="183" fontId="3" fillId="33" borderId="40" xfId="0" applyNumberFormat="1" applyFont="1" applyFill="1" applyBorder="1" applyAlignment="1">
      <alignment horizontal="center" vertical="center"/>
    </xf>
    <xf numFmtId="183" fontId="12" fillId="33" borderId="40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7" fontId="16" fillId="33" borderId="0" xfId="0" applyNumberFormat="1" applyFont="1" applyFill="1" applyBorder="1" applyAlignment="1">
      <alignment horizontal="center" vertical="center"/>
    </xf>
    <xf numFmtId="183" fontId="16" fillId="33" borderId="10" xfId="0" applyNumberFormat="1" applyFont="1" applyFill="1" applyBorder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183" fontId="16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left" vertical="center" wrapText="1"/>
    </xf>
    <xf numFmtId="0" fontId="16" fillId="33" borderId="30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 vertical="center"/>
    </xf>
    <xf numFmtId="183" fontId="16" fillId="33" borderId="30" xfId="0" applyNumberFormat="1" applyFont="1" applyFill="1" applyBorder="1" applyAlignment="1">
      <alignment horizontal="center" vertical="center"/>
    </xf>
    <xf numFmtId="183" fontId="16" fillId="33" borderId="27" xfId="0" applyNumberFormat="1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3" fontId="13" fillId="33" borderId="10" xfId="0" applyNumberFormat="1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2" fillId="33" borderId="42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top"/>
    </xf>
    <xf numFmtId="0" fontId="2" fillId="33" borderId="44" xfId="0" applyFont="1" applyFill="1" applyBorder="1" applyAlignment="1">
      <alignment horizontal="center" vertical="top"/>
    </xf>
    <xf numFmtId="0" fontId="2" fillId="33" borderId="43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79" fillId="33" borderId="16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 wrapText="1"/>
    </xf>
    <xf numFmtId="0" fontId="8" fillId="0" borderId="53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33" borderId="55" xfId="0" applyFont="1" applyFill="1" applyBorder="1" applyAlignment="1">
      <alignment horizontal="left" vertical="top" wrapText="1"/>
    </xf>
    <xf numFmtId="0" fontId="8" fillId="33" borderId="56" xfId="0" applyFont="1" applyFill="1" applyBorder="1" applyAlignment="1">
      <alignment horizontal="left" vertical="top" wrapText="1"/>
    </xf>
    <xf numFmtId="0" fontId="8" fillId="33" borderId="37" xfId="0" applyFont="1" applyFill="1" applyBorder="1" applyAlignment="1">
      <alignment horizontal="left" vertical="top" wrapText="1"/>
    </xf>
    <xf numFmtId="0" fontId="8" fillId="33" borderId="51" xfId="0" applyFont="1" applyFill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33" borderId="24" xfId="0" applyNumberFormat="1" applyFill="1" applyBorder="1" applyAlignment="1">
      <alignment horizontal="center" vertical="center" wrapText="1"/>
    </xf>
    <xf numFmtId="49" fontId="0" fillId="33" borderId="28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33" borderId="53" xfId="0" applyFont="1" applyFill="1" applyBorder="1" applyAlignment="1">
      <alignment horizontal="center" vertical="top"/>
    </xf>
    <xf numFmtId="0" fontId="8" fillId="33" borderId="54" xfId="0" applyFont="1" applyFill="1" applyBorder="1" applyAlignment="1">
      <alignment horizontal="center" vertical="top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 vertical="center"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183" fontId="2" fillId="33" borderId="23" xfId="0" applyNumberFormat="1" applyFont="1" applyFill="1" applyBorder="1" applyAlignment="1">
      <alignment horizontal="center" vertical="center"/>
    </xf>
    <xf numFmtId="183" fontId="2" fillId="33" borderId="30" xfId="0" applyNumberFormat="1" applyFont="1" applyFill="1" applyBorder="1" applyAlignment="1">
      <alignment horizontal="center" vertical="center"/>
    </xf>
    <xf numFmtId="183" fontId="3" fillId="33" borderId="23" xfId="0" applyNumberFormat="1" applyFont="1" applyFill="1" applyBorder="1" applyAlignment="1">
      <alignment horizontal="center" vertical="center"/>
    </xf>
    <xf numFmtId="183" fontId="3" fillId="33" borderId="3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2" fontId="3" fillId="33" borderId="3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183" fontId="2" fillId="33" borderId="55" xfId="0" applyNumberFormat="1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83" fontId="2" fillId="33" borderId="23" xfId="0" applyNumberFormat="1" applyFont="1" applyFill="1" applyBorder="1" applyAlignment="1">
      <alignment horizontal="center" vertical="center"/>
    </xf>
    <xf numFmtId="183" fontId="2" fillId="33" borderId="30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83" fontId="3" fillId="33" borderId="11" xfId="0" applyNumberFormat="1" applyFont="1" applyFill="1" applyBorder="1" applyAlignment="1">
      <alignment horizontal="center" vertical="center"/>
    </xf>
    <xf numFmtId="183" fontId="3" fillId="33" borderId="30" xfId="0" applyNumberFormat="1" applyFont="1" applyFill="1" applyBorder="1" applyAlignment="1">
      <alignment horizontal="center" vertical="center"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2" fontId="3" fillId="33" borderId="23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0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183" fontId="3" fillId="33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33" borderId="12" xfId="0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183" fontId="2" fillId="33" borderId="39" xfId="0" applyNumberFormat="1" applyFont="1" applyFill="1" applyBorder="1" applyAlignment="1">
      <alignment horizontal="center" vertical="center"/>
    </xf>
    <xf numFmtId="183" fontId="2" fillId="33" borderId="3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174" fontId="2" fillId="33" borderId="23" xfId="0" applyNumberFormat="1" applyFont="1" applyFill="1" applyBorder="1" applyAlignment="1">
      <alignment horizontal="center" vertical="center"/>
    </xf>
    <xf numFmtId="174" fontId="2" fillId="33" borderId="3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center" vertical="center"/>
    </xf>
    <xf numFmtId="183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top"/>
    </xf>
    <xf numFmtId="0" fontId="2" fillId="33" borderId="5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83" fontId="2" fillId="33" borderId="56" xfId="0" applyNumberFormat="1" applyFont="1" applyFill="1" applyBorder="1" applyAlignment="1">
      <alignment horizontal="center" vertical="center"/>
    </xf>
    <xf numFmtId="183" fontId="2" fillId="33" borderId="51" xfId="0" applyNumberFormat="1" applyFont="1" applyFill="1" applyBorder="1" applyAlignment="1">
      <alignment horizontal="center" vertical="center"/>
    </xf>
    <xf numFmtId="2" fontId="36" fillId="33" borderId="23" xfId="0" applyNumberFormat="1" applyFont="1" applyFill="1" applyBorder="1" applyAlignment="1">
      <alignment horizontal="center" vertical="center" wrapText="1"/>
    </xf>
    <xf numFmtId="2" fontId="36" fillId="33" borderId="3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3" fontId="2" fillId="33" borderId="11" xfId="0" applyNumberFormat="1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top"/>
    </xf>
    <xf numFmtId="0" fontId="2" fillId="33" borderId="52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center"/>
    </xf>
    <xf numFmtId="18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183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4" fontId="2" fillId="33" borderId="23" xfId="0" applyNumberFormat="1" applyFont="1" applyFill="1" applyBorder="1" applyAlignment="1">
      <alignment horizontal="center" vertical="center"/>
    </xf>
    <xf numFmtId="174" fontId="2" fillId="33" borderId="30" xfId="0" applyNumberFormat="1" applyFont="1" applyFill="1" applyBorder="1" applyAlignment="1">
      <alignment horizontal="center" vertical="center"/>
    </xf>
    <xf numFmtId="183" fontId="2" fillId="33" borderId="55" xfId="0" applyNumberFormat="1" applyFont="1" applyFill="1" applyBorder="1" applyAlignment="1">
      <alignment horizontal="center" vertical="center"/>
    </xf>
    <xf numFmtId="183" fontId="2" fillId="33" borderId="37" xfId="0" applyNumberFormat="1" applyFont="1" applyFill="1" applyBorder="1" applyAlignment="1">
      <alignment horizontal="center" vertical="center"/>
    </xf>
    <xf numFmtId="183" fontId="2" fillId="33" borderId="56" xfId="0" applyNumberFormat="1" applyFont="1" applyFill="1" applyBorder="1" applyAlignment="1">
      <alignment horizontal="center" vertical="center"/>
    </xf>
    <xf numFmtId="183" fontId="2" fillId="33" borderId="51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183" fontId="2" fillId="33" borderId="39" xfId="0" applyNumberFormat="1" applyFont="1" applyFill="1" applyBorder="1" applyAlignment="1">
      <alignment horizontal="center" vertical="center"/>
    </xf>
    <xf numFmtId="183" fontId="2" fillId="33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2" fontId="3" fillId="33" borderId="39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183" fontId="0" fillId="33" borderId="23" xfId="0" applyNumberFormat="1" applyFont="1" applyFill="1" applyBorder="1" applyAlignment="1">
      <alignment horizontal="center" vertical="center"/>
    </xf>
    <xf numFmtId="183" fontId="0" fillId="33" borderId="30" xfId="0" applyNumberFormat="1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83" fontId="0" fillId="33" borderId="23" xfId="0" applyNumberFormat="1" applyFont="1" applyFill="1" applyBorder="1" applyAlignment="1">
      <alignment horizontal="center" vertical="center"/>
    </xf>
    <xf numFmtId="183" fontId="0" fillId="33" borderId="3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183" fontId="0" fillId="33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28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3" fontId="3" fillId="0" borderId="23" xfId="0" applyNumberFormat="1" applyFont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183" fontId="2" fillId="0" borderId="23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33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3" fontId="3" fillId="0" borderId="39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2" fillId="33" borderId="38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3" fillId="33" borderId="3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183" fontId="2" fillId="33" borderId="15" xfId="0" applyNumberFormat="1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3" fontId="3" fillId="0" borderId="23" xfId="0" applyNumberFormat="1" applyFont="1" applyBorder="1" applyAlignment="1">
      <alignment horizontal="center"/>
    </xf>
    <xf numFmtId="183" fontId="3" fillId="0" borderId="3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83" fontId="3" fillId="0" borderId="39" xfId="0" applyNumberFormat="1" applyFont="1" applyBorder="1" applyAlignment="1">
      <alignment horizontal="center"/>
    </xf>
    <xf numFmtId="183" fontId="3" fillId="0" borderId="38" xfId="0" applyNumberFormat="1" applyFont="1" applyBorder="1" applyAlignment="1">
      <alignment horizontal="center"/>
    </xf>
    <xf numFmtId="183" fontId="3" fillId="32" borderId="10" xfId="0" applyNumberFormat="1" applyFont="1" applyFill="1" applyBorder="1" applyAlignment="1">
      <alignment horizontal="center"/>
    </xf>
    <xf numFmtId="183" fontId="3" fillId="32" borderId="12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6" fillId="33" borderId="3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7" fontId="2" fillId="33" borderId="39" xfId="43" applyNumberFormat="1" applyFont="1" applyFill="1" applyBorder="1" applyAlignment="1">
      <alignment horizontal="center" vertical="center"/>
    </xf>
    <xf numFmtId="187" fontId="2" fillId="33" borderId="38" xfId="43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183" fontId="1" fillId="33" borderId="23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183" fontId="0" fillId="33" borderId="23" xfId="0" applyNumberFormat="1" applyFont="1" applyFill="1" applyBorder="1" applyAlignment="1">
      <alignment horizontal="center" vertical="center" wrapText="1"/>
    </xf>
    <xf numFmtId="183" fontId="1" fillId="33" borderId="30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183" fontId="0" fillId="33" borderId="30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 wrapText="1"/>
    </xf>
    <xf numFmtId="2" fontId="0" fillId="33" borderId="30" xfId="0" applyNumberFormat="1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top"/>
    </xf>
    <xf numFmtId="0" fontId="2" fillId="33" borderId="42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top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183" fontId="3" fillId="33" borderId="3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3" fillId="33" borderId="37" xfId="0" applyFont="1" applyFill="1" applyBorder="1" applyAlignment="1">
      <alignment horizontal="center" vertical="center" wrapText="1"/>
    </xf>
    <xf numFmtId="183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4" fontId="0" fillId="33" borderId="23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33" borderId="42" xfId="0" applyNumberFormat="1" applyFont="1" applyFill="1" applyBorder="1" applyAlignment="1">
      <alignment horizontal="center" vertical="center"/>
    </xf>
    <xf numFmtId="1" fontId="0" fillId="33" borderId="36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3" fontId="1" fillId="0" borderId="23" xfId="0" applyNumberFormat="1" applyFont="1" applyBorder="1" applyAlignment="1">
      <alignment horizontal="center" vertical="center"/>
    </xf>
    <xf numFmtId="183" fontId="1" fillId="0" borderId="30" xfId="0" applyNumberFormat="1" applyFont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3" fillId="0" borderId="23" xfId="0" applyNumberFormat="1" applyFont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83" fontId="3" fillId="0" borderId="39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36" fillId="3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83" fontId="2" fillId="33" borderId="23" xfId="0" applyNumberFormat="1" applyFont="1" applyFill="1" applyBorder="1" applyAlignment="1">
      <alignment horizontal="center" vertical="center" wrapText="1"/>
    </xf>
    <xf numFmtId="183" fontId="2" fillId="33" borderId="3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shrinkToFit="1"/>
    </xf>
    <xf numFmtId="49" fontId="2" fillId="33" borderId="30" xfId="0" applyNumberFormat="1" applyFont="1" applyFill="1" applyBorder="1" applyAlignment="1">
      <alignment horizontal="center" vertical="center" shrinkToFit="1"/>
    </xf>
    <xf numFmtId="2" fontId="36" fillId="33" borderId="12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/>
    </xf>
    <xf numFmtId="0" fontId="2" fillId="33" borderId="44" xfId="0" applyFont="1" applyFill="1" applyBorder="1" applyAlignment="1">
      <alignment horizontal="center" vertical="top"/>
    </xf>
    <xf numFmtId="0" fontId="8" fillId="0" borderId="47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view="pageBreakPreview" zoomScale="85" zoomScaleSheetLayoutView="85" zoomScalePageLayoutView="0" workbookViewId="0" topLeftCell="A1">
      <selection activeCell="K71" sqref="K71"/>
    </sheetView>
  </sheetViews>
  <sheetFormatPr defaultColWidth="9.00390625" defaultRowHeight="12.75"/>
  <cols>
    <col min="1" max="1" width="4.00390625" style="49" bestFit="1" customWidth="1"/>
    <col min="2" max="2" width="27.75390625" style="49" customWidth="1"/>
    <col min="3" max="3" width="8.375" style="49" customWidth="1"/>
    <col min="4" max="4" width="7.25390625" style="49" customWidth="1"/>
    <col min="5" max="5" width="12.875" style="49" customWidth="1"/>
    <col min="6" max="6" width="12.75390625" style="49" bestFit="1" customWidth="1"/>
    <col min="7" max="7" width="11.125" style="49" customWidth="1"/>
    <col min="8" max="8" width="11.25390625" style="49" customWidth="1"/>
    <col min="9" max="9" width="11.125" style="49" customWidth="1"/>
    <col min="10" max="10" width="10.125" style="49" customWidth="1"/>
    <col min="11" max="11" width="13.25390625" style="49" customWidth="1"/>
    <col min="12" max="13" width="11.25390625" style="49" bestFit="1" customWidth="1"/>
    <col min="14" max="16384" width="9.125" style="49" customWidth="1"/>
  </cols>
  <sheetData>
    <row r="1" spans="1:13" ht="15.75">
      <c r="A1" s="1127" t="s">
        <v>526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</row>
    <row r="2" spans="1:13" ht="15.75">
      <c r="A2" s="1127" t="s">
        <v>525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</row>
    <row r="3" spans="1:13" ht="15.75">
      <c r="A3" s="1127" t="s">
        <v>1264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</row>
    <row r="4" spans="1:13" ht="16.5" thickBot="1">
      <c r="A4" s="1128" t="s">
        <v>1408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</row>
    <row r="5" spans="1:13" ht="12.75" customHeight="1" thickBot="1">
      <c r="A5" s="1129" t="s">
        <v>14</v>
      </c>
      <c r="B5" s="1123" t="s">
        <v>24</v>
      </c>
      <c r="C5" s="1124"/>
      <c r="D5" s="1121" t="s">
        <v>554</v>
      </c>
      <c r="E5" s="1131" t="s">
        <v>448</v>
      </c>
      <c r="F5" s="1131"/>
      <c r="G5" s="1132"/>
      <c r="H5" s="1130" t="s">
        <v>18</v>
      </c>
      <c r="I5" s="1131"/>
      <c r="J5" s="1131"/>
      <c r="K5" s="1130" t="s">
        <v>19</v>
      </c>
      <c r="L5" s="1131"/>
      <c r="M5" s="1132"/>
    </row>
    <row r="6" spans="1:13" ht="16.5" thickBot="1">
      <c r="A6" s="1120"/>
      <c r="B6" s="1125"/>
      <c r="C6" s="1126"/>
      <c r="D6" s="1122"/>
      <c r="E6" s="1133" t="s">
        <v>5</v>
      </c>
      <c r="F6" s="1130" t="s">
        <v>4</v>
      </c>
      <c r="G6" s="1132"/>
      <c r="H6" s="1129" t="s">
        <v>16</v>
      </c>
      <c r="I6" s="1131" t="s">
        <v>4</v>
      </c>
      <c r="J6" s="1131"/>
      <c r="K6" s="1120" t="s">
        <v>5</v>
      </c>
      <c r="L6" s="1130" t="s">
        <v>4</v>
      </c>
      <c r="M6" s="1132"/>
    </row>
    <row r="7" spans="1:13" ht="33" customHeight="1" thickBot="1">
      <c r="A7" s="1120"/>
      <c r="B7" s="1125"/>
      <c r="C7" s="1126"/>
      <c r="D7" s="1122"/>
      <c r="E7" s="1134"/>
      <c r="F7" s="96" t="s">
        <v>15</v>
      </c>
      <c r="G7" s="96" t="s">
        <v>8</v>
      </c>
      <c r="H7" s="1120"/>
      <c r="I7" s="96" t="s">
        <v>6</v>
      </c>
      <c r="J7" s="96" t="s">
        <v>17</v>
      </c>
      <c r="K7" s="1120"/>
      <c r="L7" s="131" t="s">
        <v>6</v>
      </c>
      <c r="M7" s="131" t="s">
        <v>17</v>
      </c>
    </row>
    <row r="8" spans="1:13" ht="15" customHeight="1">
      <c r="A8" s="1105">
        <v>1</v>
      </c>
      <c r="B8" s="1111" t="s">
        <v>658</v>
      </c>
      <c r="C8" s="1112"/>
      <c r="D8" s="1115" t="s">
        <v>555</v>
      </c>
      <c r="E8" s="132">
        <f>F8+G8</f>
        <v>216.065</v>
      </c>
      <c r="F8" s="149">
        <f>'Беловский '!G48</f>
        <v>112.45899999999999</v>
      </c>
      <c r="G8" s="132">
        <f>'Беловский '!H48</f>
        <v>103.60600000000001</v>
      </c>
      <c r="H8" s="139">
        <f aca="true" t="shared" si="0" ref="H8:H19">I8+J8</f>
        <v>15</v>
      </c>
      <c r="I8" s="133">
        <f>'Беловский '!J48</f>
        <v>12</v>
      </c>
      <c r="J8" s="139">
        <f>'Беловский '!K48</f>
        <v>3</v>
      </c>
      <c r="K8" s="133">
        <f>L8+M8</f>
        <v>190</v>
      </c>
      <c r="L8" s="139">
        <f>'Беловский '!M48</f>
        <v>115</v>
      </c>
      <c r="M8" s="220">
        <f>'Беловский '!N48</f>
        <v>75</v>
      </c>
    </row>
    <row r="9" spans="1:13" ht="32.25" customHeight="1" thickBot="1">
      <c r="A9" s="1106"/>
      <c r="B9" s="1113"/>
      <c r="C9" s="1114"/>
      <c r="D9" s="1116"/>
      <c r="E9" s="134"/>
      <c r="F9" s="157"/>
      <c r="G9" s="134"/>
      <c r="H9" s="210">
        <f t="shared" si="0"/>
        <v>596.6</v>
      </c>
      <c r="I9" s="209">
        <f>'Беловский '!J49</f>
        <v>350.59000000000003</v>
      </c>
      <c r="J9" s="210">
        <f>'Беловский '!K49</f>
        <v>246.01</v>
      </c>
      <c r="K9" s="135">
        <f>L9+M9</f>
        <v>3036</v>
      </c>
      <c r="L9" s="140">
        <f>'Беловский '!M49</f>
        <v>1816</v>
      </c>
      <c r="M9" s="221">
        <f>'Беловский '!N49</f>
        <v>1220</v>
      </c>
    </row>
    <row r="10" spans="1:13" ht="13.5" customHeight="1">
      <c r="A10" s="1105">
        <v>2</v>
      </c>
      <c r="B10" s="1111" t="s">
        <v>1273</v>
      </c>
      <c r="C10" s="1112"/>
      <c r="D10" s="1115" t="s">
        <v>556</v>
      </c>
      <c r="E10" s="147">
        <f>'Гурьевский '!F73</f>
        <v>354.94</v>
      </c>
      <c r="F10" s="149">
        <f>'Гурьевский '!G73</f>
        <v>268.29800000000006</v>
      </c>
      <c r="G10" s="132">
        <f>'Гурьевский '!H73</f>
        <v>86.642</v>
      </c>
      <c r="H10" s="139">
        <f t="shared" si="0"/>
        <v>19</v>
      </c>
      <c r="I10" s="133">
        <f>'Гурьевский '!J73</f>
        <v>13</v>
      </c>
      <c r="J10" s="139">
        <f>'Гурьевский '!K73</f>
        <v>6</v>
      </c>
      <c r="K10" s="133">
        <f aca="true" t="shared" si="1" ref="K10:K61">L10+M10</f>
        <v>398</v>
      </c>
      <c r="L10" s="139">
        <f>'Гурьевский '!M73</f>
        <v>262</v>
      </c>
      <c r="M10" s="220">
        <f>'Гурьевский '!N73</f>
        <v>136</v>
      </c>
    </row>
    <row r="11" spans="1:13" ht="39" customHeight="1" thickBot="1">
      <c r="A11" s="1106"/>
      <c r="B11" s="1113"/>
      <c r="C11" s="1114"/>
      <c r="D11" s="1116"/>
      <c r="E11" s="134"/>
      <c r="F11" s="157"/>
      <c r="G11" s="134"/>
      <c r="H11" s="210">
        <f t="shared" si="0"/>
        <v>1807.51</v>
      </c>
      <c r="I11" s="209">
        <f>'Гурьевский '!J74</f>
        <v>664.03</v>
      </c>
      <c r="J11" s="210">
        <f>'Гурьевский '!K74</f>
        <v>1143.48</v>
      </c>
      <c r="K11" s="135">
        <f t="shared" si="1"/>
        <v>8557</v>
      </c>
      <c r="L11" s="140">
        <f>'Гурьевский '!M74</f>
        <v>6549</v>
      </c>
      <c r="M11" s="221">
        <f>'Гурьевский '!N74</f>
        <v>2008</v>
      </c>
    </row>
    <row r="12" spans="1:13" ht="15.75">
      <c r="A12" s="1105">
        <v>3</v>
      </c>
      <c r="B12" s="1111" t="s">
        <v>1522</v>
      </c>
      <c r="C12" s="1112"/>
      <c r="D12" s="1115" t="s">
        <v>557</v>
      </c>
      <c r="E12" s="132">
        <f>F12+G12</f>
        <v>274.12200000000007</v>
      </c>
      <c r="F12" s="149">
        <f>'Ижморский '!G61</f>
        <v>137.77700000000002</v>
      </c>
      <c r="G12" s="132">
        <f>'Ижморский '!H61</f>
        <v>136.34500000000003</v>
      </c>
      <c r="H12" s="139">
        <f t="shared" si="0"/>
        <v>6</v>
      </c>
      <c r="I12" s="133">
        <f>'Ижморский '!J61</f>
        <v>6</v>
      </c>
      <c r="J12" s="139">
        <f>'Ижморский '!K61</f>
        <v>0</v>
      </c>
      <c r="K12" s="133">
        <f t="shared" si="1"/>
        <v>252</v>
      </c>
      <c r="L12" s="139">
        <f>'Ижморский '!M61</f>
        <v>211</v>
      </c>
      <c r="M12" s="220">
        <f>'Ижморский '!N61</f>
        <v>41</v>
      </c>
    </row>
    <row r="13" spans="1:13" ht="22.5" customHeight="1" thickBot="1">
      <c r="A13" s="1106"/>
      <c r="B13" s="1113"/>
      <c r="C13" s="1114"/>
      <c r="D13" s="1116"/>
      <c r="E13" s="134"/>
      <c r="F13" s="157"/>
      <c r="G13" s="134"/>
      <c r="H13" s="210">
        <f t="shared" si="0"/>
        <v>199.80999999999997</v>
      </c>
      <c r="I13" s="209">
        <f>'Ижморский '!J62</f>
        <v>199.80999999999997</v>
      </c>
      <c r="J13" s="210">
        <f>'Ижморский '!K62</f>
        <v>0</v>
      </c>
      <c r="K13" s="135">
        <f t="shared" si="1"/>
        <v>4667</v>
      </c>
      <c r="L13" s="140">
        <f>'Ижморский '!M62</f>
        <v>4111</v>
      </c>
      <c r="M13" s="221">
        <f>'Ижморский '!N62</f>
        <v>556</v>
      </c>
    </row>
    <row r="14" spans="1:13" ht="13.5" customHeight="1">
      <c r="A14" s="1105">
        <v>4</v>
      </c>
      <c r="B14" s="1111" t="s">
        <v>732</v>
      </c>
      <c r="C14" s="1112"/>
      <c r="D14" s="1115" t="s">
        <v>697</v>
      </c>
      <c r="E14" s="136">
        <f>F14+G14</f>
        <v>213.06900000000005</v>
      </c>
      <c r="F14" s="148">
        <f>'Кемеровское дрсу'!G82</f>
        <v>189.30500000000004</v>
      </c>
      <c r="G14" s="136">
        <f>'Кемеровское дрсу'!H82</f>
        <v>23.764</v>
      </c>
      <c r="H14" s="141">
        <f t="shared" si="0"/>
        <v>20</v>
      </c>
      <c r="I14" s="278">
        <f>'Кемеровское дрсу'!J82</f>
        <v>18</v>
      </c>
      <c r="J14" s="141">
        <f>'Кемеровское дрсу'!K82</f>
        <v>2</v>
      </c>
      <c r="K14" s="133">
        <f t="shared" si="1"/>
        <v>240</v>
      </c>
      <c r="L14" s="141">
        <f>'Кемеровское дрсу'!M82</f>
        <v>158</v>
      </c>
      <c r="M14" s="222">
        <f>'Кемеровское дрсу'!N82</f>
        <v>82</v>
      </c>
    </row>
    <row r="15" spans="1:13" ht="16.5" thickBot="1">
      <c r="A15" s="1106"/>
      <c r="B15" s="1113"/>
      <c r="C15" s="1114"/>
      <c r="D15" s="1116"/>
      <c r="E15" s="137"/>
      <c r="F15" s="158"/>
      <c r="G15" s="137"/>
      <c r="H15" s="211">
        <f t="shared" si="0"/>
        <v>886.6199999999999</v>
      </c>
      <c r="I15" s="277">
        <f>'Кемеровское дрсу'!J83</f>
        <v>757.81</v>
      </c>
      <c r="J15" s="211">
        <f>'Кемеровское дрсу'!K83</f>
        <v>128.81</v>
      </c>
      <c r="K15" s="135">
        <f t="shared" si="1"/>
        <v>5048</v>
      </c>
      <c r="L15" s="142">
        <f>'Кемеровское дрсу'!M83</f>
        <v>3700</v>
      </c>
      <c r="M15" s="223">
        <f>'Кемеровское дрсу'!N83</f>
        <v>1348</v>
      </c>
    </row>
    <row r="16" spans="1:13" ht="13.5" customHeight="1">
      <c r="A16" s="1105">
        <v>5</v>
      </c>
      <c r="B16" s="1111" t="s">
        <v>1268</v>
      </c>
      <c r="C16" s="1112"/>
      <c r="D16" s="1117" t="s">
        <v>698</v>
      </c>
      <c r="E16" s="136">
        <f>F16+G16</f>
        <v>62.077</v>
      </c>
      <c r="F16" s="148">
        <f>Лель!G80</f>
        <v>62.077</v>
      </c>
      <c r="G16" s="148">
        <f>Лель!H80</f>
        <v>0</v>
      </c>
      <c r="H16" s="141">
        <f t="shared" si="0"/>
        <v>5</v>
      </c>
      <c r="I16" s="278">
        <f>Лель!J80</f>
        <v>5</v>
      </c>
      <c r="J16" s="278">
        <f>Лель!K80</f>
        <v>0</v>
      </c>
      <c r="K16" s="133">
        <f>L16+M16</f>
        <v>51</v>
      </c>
      <c r="L16" s="141">
        <f>Лель!M80</f>
        <v>40</v>
      </c>
      <c r="M16" s="141">
        <f>Лель!N80</f>
        <v>11</v>
      </c>
    </row>
    <row r="17" spans="1:13" ht="16.5" thickBot="1">
      <c r="A17" s="1106"/>
      <c r="B17" s="1113"/>
      <c r="C17" s="1114"/>
      <c r="D17" s="1116"/>
      <c r="E17" s="137"/>
      <c r="F17" s="158"/>
      <c r="G17" s="158"/>
      <c r="H17" s="211">
        <f t="shared" si="0"/>
        <v>290.62</v>
      </c>
      <c r="I17" s="277">
        <f>Лель!J81</f>
        <v>290.62</v>
      </c>
      <c r="J17" s="277">
        <f>Лель!K81</f>
        <v>0</v>
      </c>
      <c r="K17" s="135">
        <f>L17+M17</f>
        <v>1592</v>
      </c>
      <c r="L17" s="142">
        <f>Лель!M81</f>
        <v>1251</v>
      </c>
      <c r="M17" s="142">
        <f>Лель!N81</f>
        <v>341</v>
      </c>
    </row>
    <row r="18" spans="1:13" ht="15.75">
      <c r="A18" s="1105">
        <v>6</v>
      </c>
      <c r="B18" s="1111" t="s">
        <v>666</v>
      </c>
      <c r="C18" s="1112"/>
      <c r="D18" s="1117" t="s">
        <v>1503</v>
      </c>
      <c r="E18" s="132">
        <f>F18+G18</f>
        <v>212.084</v>
      </c>
      <c r="F18" s="149">
        <f>Крапивиноавтодор!G54</f>
        <v>107.78699999999999</v>
      </c>
      <c r="G18" s="132">
        <f>Крапивиноавтодор!H54</f>
        <v>104.297</v>
      </c>
      <c r="H18" s="139">
        <f t="shared" si="0"/>
        <v>13</v>
      </c>
      <c r="I18" s="133">
        <f>Крапивиноавтодор!J54</f>
        <v>13</v>
      </c>
      <c r="J18" s="139">
        <f>Крапивиноавтодор!K54</f>
        <v>0</v>
      </c>
      <c r="K18" s="133">
        <f t="shared" si="1"/>
        <v>130</v>
      </c>
      <c r="L18" s="139">
        <f>Крапивиноавтодор!M54</f>
        <v>97</v>
      </c>
      <c r="M18" s="220">
        <f>Крапивиноавтодор!N54</f>
        <v>33</v>
      </c>
    </row>
    <row r="19" spans="1:13" ht="16.5" thickBot="1">
      <c r="A19" s="1106"/>
      <c r="B19" s="1113"/>
      <c r="C19" s="1114"/>
      <c r="D19" s="1116"/>
      <c r="E19" s="134"/>
      <c r="F19" s="157"/>
      <c r="G19" s="134"/>
      <c r="H19" s="210">
        <f t="shared" si="0"/>
        <v>491.15000000000003</v>
      </c>
      <c r="I19" s="209">
        <f>Крапивиноавтодор!J55</f>
        <v>491.15000000000003</v>
      </c>
      <c r="J19" s="210">
        <f>Крапивиноавтодор!K55</f>
        <v>0</v>
      </c>
      <c r="K19" s="135">
        <f t="shared" si="1"/>
        <v>2407</v>
      </c>
      <c r="L19" s="140">
        <f>Крапивиноавтодор!M55</f>
        <v>1986</v>
      </c>
      <c r="M19" s="221">
        <f>Крапивиноавтодор!N55</f>
        <v>421</v>
      </c>
    </row>
    <row r="20" spans="1:13" ht="15.75">
      <c r="A20" s="1105">
        <v>7</v>
      </c>
      <c r="B20" s="1138" t="s">
        <v>659</v>
      </c>
      <c r="C20" s="1139"/>
      <c r="D20" s="1117" t="s">
        <v>634</v>
      </c>
      <c r="E20" s="132">
        <f>F20+G20</f>
        <v>171.36300000000006</v>
      </c>
      <c r="F20" s="149">
        <f>'Полысаев (Кемер район)'!G40</f>
        <v>147.92100000000005</v>
      </c>
      <c r="G20" s="132">
        <f>'Полысаев (Кемер район)'!H40</f>
        <v>23.442</v>
      </c>
      <c r="H20" s="139">
        <f aca="true" t="shared" si="2" ref="H20:H27">I20+J20</f>
        <v>9</v>
      </c>
      <c r="I20" s="133">
        <f>'Полысаев (Кемер район)'!J40</f>
        <v>8</v>
      </c>
      <c r="J20" s="139">
        <f>'Полысаев (Кемер район)'!K40</f>
        <v>1</v>
      </c>
      <c r="K20" s="133">
        <f t="shared" si="1"/>
        <v>158</v>
      </c>
      <c r="L20" s="139">
        <f>'Полысаев (Кемер район)'!M40</f>
        <v>126</v>
      </c>
      <c r="M20" s="220">
        <f>'Полысаев (Кемер район)'!N40</f>
        <v>32</v>
      </c>
    </row>
    <row r="21" spans="1:13" ht="31.5" customHeight="1" thickBot="1">
      <c r="A21" s="1106"/>
      <c r="B21" s="1140"/>
      <c r="C21" s="1141"/>
      <c r="D21" s="1116"/>
      <c r="E21" s="134"/>
      <c r="F21" s="157"/>
      <c r="G21" s="134"/>
      <c r="H21" s="210">
        <f t="shared" si="2"/>
        <v>446.94000000000005</v>
      </c>
      <c r="I21" s="209">
        <f>'Полысаев (Кемер район)'!J41</f>
        <v>376.85</v>
      </c>
      <c r="J21" s="210">
        <f>'Полысаев (Кемер район)'!K41</f>
        <v>70.09</v>
      </c>
      <c r="K21" s="135">
        <f t="shared" si="1"/>
        <v>2676</v>
      </c>
      <c r="L21" s="140">
        <f>'Полысаев (Кемер район)'!M41</f>
        <v>2296</v>
      </c>
      <c r="M21" s="221">
        <f>'Полысаев (Кемер район)'!N41</f>
        <v>380</v>
      </c>
    </row>
    <row r="22" spans="1:13" ht="15.75">
      <c r="A22" s="1105">
        <v>8</v>
      </c>
      <c r="B22" s="1138" t="s">
        <v>1194</v>
      </c>
      <c r="C22" s="1139"/>
      <c r="D22" s="1117" t="s">
        <v>1504</v>
      </c>
      <c r="E22" s="132">
        <f>F22+G22</f>
        <v>216.72</v>
      </c>
      <c r="F22" s="149">
        <f>'Промышл (Л-Куз р-н)'!G58</f>
        <v>197.26</v>
      </c>
      <c r="G22" s="132">
        <f>'Промышл (Л-Куз р-н)'!H58</f>
        <v>19.46</v>
      </c>
      <c r="H22" s="139">
        <f t="shared" si="2"/>
        <v>12</v>
      </c>
      <c r="I22" s="146">
        <f>'Промышл (Л-Куз р-н)'!J58</f>
        <v>12</v>
      </c>
      <c r="J22" s="143">
        <f>'Промышл (Л-Куз р-н)'!K58</f>
        <v>0</v>
      </c>
      <c r="K22" s="133">
        <f t="shared" si="1"/>
        <v>173</v>
      </c>
      <c r="L22" s="143">
        <f>'Промышл (Л-Куз р-н)'!M58</f>
        <v>138</v>
      </c>
      <c r="M22" s="224">
        <f>'Промышл (Л-Куз р-н)'!N58</f>
        <v>35</v>
      </c>
    </row>
    <row r="23" spans="1:13" ht="32.25" customHeight="1" thickBot="1">
      <c r="A23" s="1106"/>
      <c r="B23" s="1140"/>
      <c r="C23" s="1141"/>
      <c r="D23" s="1116"/>
      <c r="E23" s="134"/>
      <c r="F23" s="157"/>
      <c r="G23" s="134"/>
      <c r="H23" s="210">
        <f t="shared" si="2"/>
        <v>447.10999999999996</v>
      </c>
      <c r="I23" s="209">
        <f>'Промышл (Л-Куз р-н)'!J59</f>
        <v>447.10999999999996</v>
      </c>
      <c r="J23" s="210">
        <f>'Промышл (Л-Куз р-н)'!K59</f>
        <v>0</v>
      </c>
      <c r="K23" s="135">
        <f t="shared" si="1"/>
        <v>2744</v>
      </c>
      <c r="L23" s="144">
        <f>'Промышл (Л-Куз р-н)'!M59</f>
        <v>2327</v>
      </c>
      <c r="M23" s="225">
        <f>'Промышл (Л-Куз р-н)'!N59</f>
        <v>417</v>
      </c>
    </row>
    <row r="24" spans="1:13" ht="16.5" hidden="1" thickBot="1">
      <c r="A24" s="1105"/>
      <c r="B24" s="1138"/>
      <c r="C24" s="1139"/>
      <c r="D24" s="1117" t="s">
        <v>699</v>
      </c>
      <c r="E24" s="132"/>
      <c r="F24" s="194"/>
      <c r="G24" s="194"/>
      <c r="H24" s="139"/>
      <c r="I24" s="194"/>
      <c r="J24" s="194"/>
      <c r="K24" s="133"/>
      <c r="L24" s="194"/>
      <c r="M24" s="194"/>
    </row>
    <row r="25" spans="1:13" ht="15.75" customHeight="1" hidden="1" thickBot="1">
      <c r="A25" s="1106"/>
      <c r="B25" s="1140"/>
      <c r="C25" s="1141"/>
      <c r="D25" s="1116"/>
      <c r="E25" s="134"/>
      <c r="F25" s="194"/>
      <c r="G25" s="193"/>
      <c r="H25" s="210"/>
      <c r="I25" s="194"/>
      <c r="J25" s="194"/>
      <c r="K25" s="135"/>
      <c r="L25" s="194"/>
      <c r="M25" s="194"/>
    </row>
    <row r="26" spans="1:13" ht="15.75" customHeight="1">
      <c r="A26" s="1105">
        <v>9</v>
      </c>
      <c r="B26" s="1111" t="s">
        <v>1437</v>
      </c>
      <c r="C26" s="1112"/>
      <c r="D26" s="1117" t="s">
        <v>699</v>
      </c>
      <c r="E26" s="132">
        <f>F26+G26</f>
        <v>205.80800000000002</v>
      </c>
      <c r="F26" s="149">
        <f>' Кем-Л-Кузн магистр'!G24</f>
        <v>205.80800000000002</v>
      </c>
      <c r="G26" s="159">
        <f>' Кем-Л-Кузн магистр'!H24</f>
        <v>0</v>
      </c>
      <c r="H26" s="139">
        <f t="shared" si="2"/>
        <v>46</v>
      </c>
      <c r="I26" s="146">
        <f>' Кем-Л-Кузн магистр'!J24</f>
        <v>46</v>
      </c>
      <c r="J26" s="143">
        <f>' Кем-Л-Кузн магистр'!K24</f>
        <v>0</v>
      </c>
      <c r="K26" s="133">
        <f t="shared" si="1"/>
        <v>167</v>
      </c>
      <c r="L26" s="143">
        <f>' Кем-Л-Кузн магистр'!M24</f>
        <v>142</v>
      </c>
      <c r="M26" s="224">
        <f>' Кем-Л-Кузн магистр'!N24</f>
        <v>25</v>
      </c>
    </row>
    <row r="27" spans="1:13" ht="37.5" customHeight="1" thickBot="1">
      <c r="A27" s="1106"/>
      <c r="B27" s="1113"/>
      <c r="C27" s="1114"/>
      <c r="D27" s="1116"/>
      <c r="E27" s="134"/>
      <c r="F27" s="157"/>
      <c r="G27" s="134"/>
      <c r="H27" s="192">
        <f t="shared" si="2"/>
        <v>2734.7</v>
      </c>
      <c r="I27" s="593">
        <f>' Кем-Л-Кузн магистр'!J25</f>
        <v>2734.7</v>
      </c>
      <c r="J27" s="192">
        <f>' Кем-Л-Кузн магистр'!K25</f>
        <v>0</v>
      </c>
      <c r="K27" s="135">
        <f t="shared" si="1"/>
        <v>6644</v>
      </c>
      <c r="L27" s="144">
        <f>' Кем-Л-Кузн магистр'!M25</f>
        <v>5787</v>
      </c>
      <c r="M27" s="225">
        <f>' Кем-Л-Кузн магистр'!N25</f>
        <v>857</v>
      </c>
    </row>
    <row r="28" spans="1:13" s="261" customFormat="1" ht="16.5" hidden="1" thickBot="1">
      <c r="A28" s="1142">
        <v>12</v>
      </c>
      <c r="B28" s="1107" t="s">
        <v>660</v>
      </c>
      <c r="C28" s="1108"/>
      <c r="D28" s="1118" t="s">
        <v>1270</v>
      </c>
      <c r="E28" s="397"/>
      <c r="F28" s="398"/>
      <c r="G28" s="397"/>
      <c r="H28" s="399"/>
      <c r="I28" s="400"/>
      <c r="J28" s="399"/>
      <c r="K28" s="400"/>
      <c r="L28" s="399"/>
      <c r="M28" s="401"/>
    </row>
    <row r="29" spans="1:13" s="261" customFormat="1" ht="16.5" hidden="1" thickBot="1">
      <c r="A29" s="1143"/>
      <c r="B29" s="1109"/>
      <c r="C29" s="1110"/>
      <c r="D29" s="1119"/>
      <c r="E29" s="402"/>
      <c r="F29" s="403"/>
      <c r="G29" s="402"/>
      <c r="H29" s="407"/>
      <c r="I29" s="594"/>
      <c r="J29" s="407"/>
      <c r="K29" s="404"/>
      <c r="L29" s="405"/>
      <c r="M29" s="406"/>
    </row>
    <row r="30" spans="1:13" ht="15.75" customHeight="1">
      <c r="A30" s="1105">
        <v>10</v>
      </c>
      <c r="B30" s="1111" t="s">
        <v>1523</v>
      </c>
      <c r="C30" s="1112"/>
      <c r="D30" s="1117" t="s">
        <v>1505</v>
      </c>
      <c r="E30" s="132">
        <f>F30+G30</f>
        <v>297.381</v>
      </c>
      <c r="F30" s="149">
        <f>Мариинский!G85</f>
        <v>161.726</v>
      </c>
      <c r="G30" s="132">
        <f>Мариинский!H85</f>
        <v>135.655</v>
      </c>
      <c r="H30" s="139">
        <f>I30+J30</f>
        <v>9</v>
      </c>
      <c r="I30" s="133">
        <f>Мариинский!J85</f>
        <v>9</v>
      </c>
      <c r="J30" s="139">
        <f>Мариинский!K85</f>
        <v>0</v>
      </c>
      <c r="K30" s="133">
        <f t="shared" si="1"/>
        <v>197</v>
      </c>
      <c r="L30" s="139">
        <f>Мариинский!M85</f>
        <v>180</v>
      </c>
      <c r="M30" s="220">
        <f>Мариинский!N85</f>
        <v>17</v>
      </c>
    </row>
    <row r="31" spans="1:13" ht="16.5" thickBot="1">
      <c r="A31" s="1106"/>
      <c r="B31" s="1113"/>
      <c r="C31" s="1114"/>
      <c r="D31" s="1116"/>
      <c r="E31" s="134"/>
      <c r="F31" s="157"/>
      <c r="G31" s="134"/>
      <c r="H31" s="210">
        <f>I31+J31</f>
        <v>350.09</v>
      </c>
      <c r="I31" s="209">
        <f>Мариинский!J86</f>
        <v>350.09</v>
      </c>
      <c r="J31" s="210">
        <f>Мариинский!K86</f>
        <v>0</v>
      </c>
      <c r="K31" s="135">
        <f t="shared" si="1"/>
        <v>3091</v>
      </c>
      <c r="L31" s="140">
        <f>Мариинский!M86</f>
        <v>2895</v>
      </c>
      <c r="M31" s="221">
        <f>Мариинский!N86</f>
        <v>196</v>
      </c>
    </row>
    <row r="32" spans="1:13" ht="15.75">
      <c r="A32" s="1105">
        <v>11</v>
      </c>
      <c r="B32" s="1111" t="s">
        <v>696</v>
      </c>
      <c r="C32" s="1112"/>
      <c r="D32" s="1117" t="s">
        <v>1506</v>
      </c>
      <c r="E32" s="132">
        <f>F32+G32</f>
        <v>518.6469999999999</v>
      </c>
      <c r="F32" s="149">
        <f>Новокузнецкое!G144</f>
        <v>458.48099999999994</v>
      </c>
      <c r="G32" s="132">
        <f>Новокузнецкое!H144</f>
        <v>60.166</v>
      </c>
      <c r="H32" s="139">
        <f>I32+J32</f>
        <v>67</v>
      </c>
      <c r="I32" s="133">
        <f>Новокузнецкое!J144</f>
        <v>57</v>
      </c>
      <c r="J32" s="139">
        <f>Новокузнецкое!K144</f>
        <v>10</v>
      </c>
      <c r="K32" s="133">
        <f t="shared" si="1"/>
        <v>460</v>
      </c>
      <c r="L32" s="139">
        <f>Новокузнецкое!M144</f>
        <v>389</v>
      </c>
      <c r="M32" s="220">
        <f>Новокузнецкое!N144</f>
        <v>71</v>
      </c>
    </row>
    <row r="33" spans="1:13" ht="16.5" thickBot="1">
      <c r="A33" s="1106"/>
      <c r="B33" s="1113"/>
      <c r="C33" s="1114"/>
      <c r="D33" s="1116"/>
      <c r="E33" s="134"/>
      <c r="F33" s="157"/>
      <c r="G33" s="134"/>
      <c r="H33" s="210">
        <f>I33+J33</f>
        <v>3790.6700000000005</v>
      </c>
      <c r="I33" s="209">
        <f>Новокузнецкое!J145</f>
        <v>2536.8700000000003</v>
      </c>
      <c r="J33" s="210">
        <f>Новокузнецкое!K145</f>
        <v>1253.8000000000002</v>
      </c>
      <c r="K33" s="135">
        <f t="shared" si="1"/>
        <v>10196</v>
      </c>
      <c r="L33" s="140">
        <f>Новокузнецкое!M145</f>
        <v>9257</v>
      </c>
      <c r="M33" s="221">
        <f>Новокузнецкое!N145</f>
        <v>939</v>
      </c>
    </row>
    <row r="34" spans="1:13" ht="15.75">
      <c r="A34" s="1105">
        <v>12</v>
      </c>
      <c r="B34" s="1111" t="s">
        <v>633</v>
      </c>
      <c r="C34" s="1112"/>
      <c r="D34" s="1117" t="s">
        <v>1507</v>
      </c>
      <c r="E34" s="132">
        <f>F34+G34</f>
        <v>140.88799999999998</v>
      </c>
      <c r="F34" s="149">
        <f>'Новокуз( Прок р-н)'!G58</f>
        <v>137.259</v>
      </c>
      <c r="G34" s="132">
        <f>'Новокуз( Прок р-н)'!H58</f>
        <v>3.6290000000000004</v>
      </c>
      <c r="H34" s="139">
        <f aca="true" t="shared" si="3" ref="H34:H39">I34+J34</f>
        <v>13</v>
      </c>
      <c r="I34" s="133">
        <f>'Новокуз( Прок р-н)'!J58</f>
        <v>12</v>
      </c>
      <c r="J34" s="139">
        <f>'Новокуз( Прок р-н)'!K58</f>
        <v>1</v>
      </c>
      <c r="K34" s="133">
        <f t="shared" si="1"/>
        <v>81</v>
      </c>
      <c r="L34" s="139">
        <f>'Новокуз( Прок р-н)'!M58</f>
        <v>76</v>
      </c>
      <c r="M34" s="220">
        <f>'Новокуз( Прок р-н)'!N58</f>
        <v>5</v>
      </c>
    </row>
    <row r="35" spans="1:13" ht="16.5" thickBot="1">
      <c r="A35" s="1106"/>
      <c r="B35" s="1113"/>
      <c r="C35" s="1114"/>
      <c r="D35" s="1116"/>
      <c r="E35" s="134"/>
      <c r="F35" s="157"/>
      <c r="G35" s="134"/>
      <c r="H35" s="210">
        <f t="shared" si="3"/>
        <v>516.87</v>
      </c>
      <c r="I35" s="213">
        <f>'Новокуз( Прок р-н)'!J59</f>
        <v>450.67</v>
      </c>
      <c r="J35" s="212">
        <f>'Новокуз( Прок р-н)'!K59</f>
        <v>66.2</v>
      </c>
      <c r="K35" s="135">
        <f t="shared" si="1"/>
        <v>1405</v>
      </c>
      <c r="L35" s="140">
        <f>'Новокуз( Прок р-н)'!M59</f>
        <v>1330</v>
      </c>
      <c r="M35" s="221">
        <f>'Новокуз( Прок р-н)'!N59</f>
        <v>75</v>
      </c>
    </row>
    <row r="36" spans="1:13" ht="16.5" hidden="1" thickBot="1">
      <c r="A36" s="1105">
        <v>16</v>
      </c>
      <c r="B36" s="1138" t="s">
        <v>1330</v>
      </c>
      <c r="C36" s="1144"/>
      <c r="D36" s="1117" t="s">
        <v>700</v>
      </c>
      <c r="E36" s="193"/>
      <c r="F36" s="194"/>
      <c r="G36" s="194"/>
      <c r="H36" s="195"/>
      <c r="I36" s="196"/>
      <c r="J36" s="145"/>
      <c r="K36" s="133"/>
      <c r="L36" s="195"/>
      <c r="M36" s="195"/>
    </row>
    <row r="37" spans="1:13" ht="16.5" hidden="1" thickBot="1">
      <c r="A37" s="1106"/>
      <c r="B37" s="1140"/>
      <c r="C37" s="1145"/>
      <c r="D37" s="1116"/>
      <c r="E37" s="193"/>
      <c r="F37" s="194"/>
      <c r="G37" s="193"/>
      <c r="H37" s="212"/>
      <c r="I37" s="213"/>
      <c r="J37" s="210"/>
      <c r="K37" s="135"/>
      <c r="L37" s="195"/>
      <c r="M37" s="195"/>
    </row>
    <row r="38" spans="1:13" ht="15.75">
      <c r="A38" s="1105">
        <v>13</v>
      </c>
      <c r="B38" s="1138" t="s">
        <v>1508</v>
      </c>
      <c r="C38" s="1144"/>
      <c r="D38" s="1117" t="s">
        <v>1509</v>
      </c>
      <c r="E38" s="132">
        <f>F38+G38</f>
        <v>144.963</v>
      </c>
      <c r="F38" s="149">
        <f>'Шушан '!G62</f>
        <v>112.238</v>
      </c>
      <c r="G38" s="132">
        <f>'Шушан '!H62</f>
        <v>32.725</v>
      </c>
      <c r="H38" s="139">
        <f t="shared" si="3"/>
        <v>8</v>
      </c>
      <c r="I38" s="133">
        <f>'Шушан '!J62</f>
        <v>7</v>
      </c>
      <c r="J38" s="139">
        <f>'Шушан '!K62</f>
        <v>1</v>
      </c>
      <c r="K38" s="133">
        <f t="shared" si="1"/>
        <v>91</v>
      </c>
      <c r="L38" s="139">
        <f>'Шушан '!M62</f>
        <v>59</v>
      </c>
      <c r="M38" s="220">
        <f>'Шушан '!N62</f>
        <v>32</v>
      </c>
    </row>
    <row r="39" spans="1:13" ht="16.5" thickBot="1">
      <c r="A39" s="1106"/>
      <c r="B39" s="1140"/>
      <c r="C39" s="1145"/>
      <c r="D39" s="1116"/>
      <c r="E39" s="134"/>
      <c r="F39" s="157"/>
      <c r="G39" s="134"/>
      <c r="H39" s="210">
        <f t="shared" si="3"/>
        <v>303.26</v>
      </c>
      <c r="I39" s="209">
        <f>'Шушан '!J63</f>
        <v>297.26</v>
      </c>
      <c r="J39" s="210">
        <f>'Шушан '!K63</f>
        <v>6</v>
      </c>
      <c r="K39" s="135">
        <f t="shared" si="1"/>
        <v>1641</v>
      </c>
      <c r="L39" s="140">
        <f>'Шушан '!M63</f>
        <v>1168</v>
      </c>
      <c r="M39" s="221">
        <f>'Шушан '!N63</f>
        <v>473</v>
      </c>
    </row>
    <row r="40" spans="1:13" ht="13.5" customHeight="1">
      <c r="A40" s="1105">
        <v>14</v>
      </c>
      <c r="B40" s="1111" t="s">
        <v>1221</v>
      </c>
      <c r="C40" s="1112"/>
      <c r="D40" s="1117" t="s">
        <v>1510</v>
      </c>
      <c r="E40" s="132">
        <f>F40+G40</f>
        <v>205.48899999999995</v>
      </c>
      <c r="F40" s="149">
        <f>Промышленновский!G55</f>
        <v>176.66999999999996</v>
      </c>
      <c r="G40" s="132">
        <f>Промышленновский!H55</f>
        <v>28.819</v>
      </c>
      <c r="H40" s="139">
        <f aca="true" t="shared" si="4" ref="H40:H61">I40+J40</f>
        <v>8</v>
      </c>
      <c r="I40" s="133">
        <f>Промышленновский!J55</f>
        <v>6</v>
      </c>
      <c r="J40" s="139">
        <f>Промышленновский!K55</f>
        <v>2</v>
      </c>
      <c r="K40" s="133">
        <f t="shared" si="1"/>
        <v>201</v>
      </c>
      <c r="L40" s="139">
        <f>Промышленновский!M55</f>
        <v>170</v>
      </c>
      <c r="M40" s="220">
        <f>Промышленновский!N55</f>
        <v>31</v>
      </c>
    </row>
    <row r="41" spans="1:13" ht="35.25" customHeight="1" thickBot="1">
      <c r="A41" s="1106"/>
      <c r="B41" s="1113"/>
      <c r="C41" s="1114"/>
      <c r="D41" s="1116"/>
      <c r="E41" s="134"/>
      <c r="F41" s="157"/>
      <c r="G41" s="134"/>
      <c r="H41" s="210">
        <f t="shared" si="4"/>
        <v>359.48</v>
      </c>
      <c r="I41" s="209">
        <f>Промышленновский!J56</f>
        <v>228.23999999999998</v>
      </c>
      <c r="J41" s="210">
        <f>Промышленновский!K56</f>
        <v>131.24</v>
      </c>
      <c r="K41" s="135">
        <f t="shared" si="1"/>
        <v>3418</v>
      </c>
      <c r="L41" s="140">
        <f>Промышленновский!M56</f>
        <v>2960</v>
      </c>
      <c r="M41" s="221">
        <f>Промышленновский!N56</f>
        <v>458</v>
      </c>
    </row>
    <row r="42" spans="1:13" ht="15.75">
      <c r="A42" s="1105">
        <v>15</v>
      </c>
      <c r="B42" s="1111" t="s">
        <v>1331</v>
      </c>
      <c r="C42" s="1112"/>
      <c r="D42" s="1117" t="s">
        <v>1271</v>
      </c>
      <c r="E42" s="132">
        <f>F42+G42</f>
        <v>174.54399999999998</v>
      </c>
      <c r="F42" s="149">
        <f>Сократ!G48</f>
        <v>54.989999999999995</v>
      </c>
      <c r="G42" s="132">
        <f>Сократ!H48</f>
        <v>119.554</v>
      </c>
      <c r="H42" s="139">
        <f t="shared" si="4"/>
        <v>10</v>
      </c>
      <c r="I42" s="133">
        <f>Сократ!J48</f>
        <v>10</v>
      </c>
      <c r="J42" s="139">
        <f>Сократ!K48</f>
        <v>0</v>
      </c>
      <c r="K42" s="133">
        <f t="shared" si="1"/>
        <v>153</v>
      </c>
      <c r="L42" s="139">
        <f>Сократ!M48</f>
        <v>128</v>
      </c>
      <c r="M42" s="220">
        <f>Сократ!N48</f>
        <v>25</v>
      </c>
    </row>
    <row r="43" spans="1:13" ht="16.5" thickBot="1">
      <c r="A43" s="1106"/>
      <c r="B43" s="1113"/>
      <c r="C43" s="1114"/>
      <c r="D43" s="1116"/>
      <c r="E43" s="134"/>
      <c r="F43" s="157"/>
      <c r="G43" s="134"/>
      <c r="H43" s="210">
        <f t="shared" si="4"/>
        <v>448.65000000000003</v>
      </c>
      <c r="I43" s="209">
        <f>Сократ!J49</f>
        <v>448.65000000000003</v>
      </c>
      <c r="J43" s="210">
        <f>Сократ!K49</f>
        <v>0</v>
      </c>
      <c r="K43" s="135">
        <f t="shared" si="1"/>
        <v>2012</v>
      </c>
      <c r="L43" s="140">
        <f>Сократ!M49</f>
        <v>1761</v>
      </c>
      <c r="M43" s="221">
        <f>Сократ!N49</f>
        <v>251</v>
      </c>
    </row>
    <row r="44" spans="1:13" ht="13.5" customHeight="1">
      <c r="A44" s="1105">
        <v>16</v>
      </c>
      <c r="B44" s="1111" t="s">
        <v>1</v>
      </c>
      <c r="C44" s="1112"/>
      <c r="D44" s="1117" t="s">
        <v>1272</v>
      </c>
      <c r="E44" s="132">
        <f>F44+G44</f>
        <v>318.12699999999995</v>
      </c>
      <c r="F44" s="149">
        <f>Таштагол!G46</f>
        <v>150.829</v>
      </c>
      <c r="G44" s="132">
        <f>Таштагол!H46</f>
        <v>167.29799999999997</v>
      </c>
      <c r="H44" s="139">
        <f t="shared" si="4"/>
        <v>33</v>
      </c>
      <c r="I44" s="133">
        <f>Таштагол!J46</f>
        <v>22</v>
      </c>
      <c r="J44" s="139">
        <f>Таштагол!K46</f>
        <v>11</v>
      </c>
      <c r="K44" s="133">
        <f t="shared" si="1"/>
        <v>455</v>
      </c>
      <c r="L44" s="139">
        <f>Таштагол!M46</f>
        <v>307</v>
      </c>
      <c r="M44" s="220">
        <f>Таштагол!N46</f>
        <v>148</v>
      </c>
    </row>
    <row r="45" spans="1:13" ht="16.5" thickBot="1">
      <c r="A45" s="1106"/>
      <c r="B45" s="1113"/>
      <c r="C45" s="1114"/>
      <c r="D45" s="1116"/>
      <c r="E45" s="134"/>
      <c r="F45" s="157"/>
      <c r="G45" s="134"/>
      <c r="H45" s="210">
        <f t="shared" si="4"/>
        <v>1354.47</v>
      </c>
      <c r="I45" s="209">
        <f>Таштагол!J47</f>
        <v>727.93</v>
      </c>
      <c r="J45" s="210">
        <f>Таштагол!K47</f>
        <v>626.5400000000001</v>
      </c>
      <c r="K45" s="135">
        <f t="shared" si="1"/>
        <v>9032</v>
      </c>
      <c r="L45" s="140">
        <f>Таштагол!M47</f>
        <v>6110</v>
      </c>
      <c r="M45" s="221">
        <f>Таштагол!N47</f>
        <v>2922</v>
      </c>
    </row>
    <row r="46" spans="1:13" ht="15.75">
      <c r="A46" s="1105">
        <v>17</v>
      </c>
      <c r="B46" s="1111" t="s">
        <v>689</v>
      </c>
      <c r="C46" s="1112"/>
      <c r="D46" s="1117" t="s">
        <v>1511</v>
      </c>
      <c r="E46" s="132">
        <f>F46+G46</f>
        <v>276.04499999999996</v>
      </c>
      <c r="F46" s="149">
        <f>'ООО "Ресурс"'!G64</f>
        <v>104.601</v>
      </c>
      <c r="G46" s="132">
        <f>'ООО "Ресурс"'!H64</f>
        <v>171.444</v>
      </c>
      <c r="H46" s="139">
        <f t="shared" si="4"/>
        <v>11</v>
      </c>
      <c r="I46" s="133">
        <f>'ООО "Ресурс"'!J64</f>
        <v>8</v>
      </c>
      <c r="J46" s="139">
        <f>'ООО "Ресурс"'!K64</f>
        <v>3</v>
      </c>
      <c r="K46" s="133">
        <f t="shared" si="1"/>
        <v>283</v>
      </c>
      <c r="L46" s="139">
        <f>'ООО "Ресурс"'!M64</f>
        <v>240</v>
      </c>
      <c r="M46" s="220">
        <f>'ООО "Ресурс"'!N64</f>
        <v>43</v>
      </c>
    </row>
    <row r="47" spans="1:13" ht="16.5" thickBot="1">
      <c r="A47" s="1106"/>
      <c r="B47" s="1113"/>
      <c r="C47" s="1114"/>
      <c r="D47" s="1116"/>
      <c r="E47" s="134"/>
      <c r="F47" s="157"/>
      <c r="G47" s="134"/>
      <c r="H47" s="210">
        <f t="shared" si="4"/>
        <v>567.0799999999999</v>
      </c>
      <c r="I47" s="209">
        <f>'ООО "Ресурс"'!J65</f>
        <v>420.63</v>
      </c>
      <c r="J47" s="210">
        <f>'ООО "Ресурс"'!K65</f>
        <v>146.45</v>
      </c>
      <c r="K47" s="135">
        <f t="shared" si="1"/>
        <v>3965</v>
      </c>
      <c r="L47" s="140">
        <f>'ООО "Ресурс"'!M65</f>
        <v>3449</v>
      </c>
      <c r="M47" s="221">
        <f>'ООО "Ресурс"'!N65</f>
        <v>516</v>
      </c>
    </row>
    <row r="48" spans="1:13" ht="13.5" customHeight="1">
      <c r="A48" s="1105">
        <v>18</v>
      </c>
      <c r="B48" s="1111" t="s">
        <v>733</v>
      </c>
      <c r="C48" s="1112"/>
      <c r="D48" s="1117" t="s">
        <v>1512</v>
      </c>
      <c r="E48" s="132">
        <f>F48+G48</f>
        <v>310.17199999999997</v>
      </c>
      <c r="F48" s="149">
        <f>'Автодор (Топкинский район)'!G97</f>
        <v>209.04299999999998</v>
      </c>
      <c r="G48" s="132">
        <f>'Автодор (Топкинский район)'!H97</f>
        <v>101.12899999999999</v>
      </c>
      <c r="H48" s="139">
        <f t="shared" si="4"/>
        <v>9</v>
      </c>
      <c r="I48" s="133">
        <f>'Автодор (Топкинский район)'!J97</f>
        <v>9</v>
      </c>
      <c r="J48" s="139">
        <f>'Автодор (Топкинский район)'!K97</f>
        <v>0</v>
      </c>
      <c r="K48" s="133">
        <f t="shared" si="1"/>
        <v>242</v>
      </c>
      <c r="L48" s="139">
        <f>'Автодор (Топкинский район)'!M97</f>
        <v>184</v>
      </c>
      <c r="M48" s="220">
        <f>'Автодор (Топкинский район)'!N97</f>
        <v>58</v>
      </c>
    </row>
    <row r="49" spans="1:13" ht="35.25" customHeight="1" thickBot="1">
      <c r="A49" s="1106"/>
      <c r="B49" s="1113"/>
      <c r="C49" s="1114"/>
      <c r="D49" s="1116"/>
      <c r="E49" s="134"/>
      <c r="F49" s="157"/>
      <c r="G49" s="134"/>
      <c r="H49" s="210">
        <f t="shared" si="4"/>
        <v>347.14</v>
      </c>
      <c r="I49" s="209">
        <f>'Автодор (Топкинский район)'!J98</f>
        <v>347.14</v>
      </c>
      <c r="J49" s="210">
        <f>'Автодор (Топкинский район)'!K98</f>
        <v>0</v>
      </c>
      <c r="K49" s="135">
        <f t="shared" si="1"/>
        <v>3537</v>
      </c>
      <c r="L49" s="140">
        <f>'Автодор (Топкинский район)'!M98</f>
        <v>2818</v>
      </c>
      <c r="M49" s="221">
        <f>'Автодор (Топкинский район)'!N98</f>
        <v>719</v>
      </c>
    </row>
    <row r="50" spans="1:13" ht="15.75">
      <c r="A50" s="1105">
        <v>19</v>
      </c>
      <c r="B50" s="1138" t="s">
        <v>648</v>
      </c>
      <c r="C50" s="1139"/>
      <c r="D50" s="1117" t="s">
        <v>1513</v>
      </c>
      <c r="E50" s="132">
        <f>F50+G50</f>
        <v>219.897</v>
      </c>
      <c r="F50" s="149">
        <f>'Тяжинское ДРСУ'!G57</f>
        <v>63.62</v>
      </c>
      <c r="G50" s="132">
        <f>'Тяжинское ДРСУ'!H57</f>
        <v>156.277</v>
      </c>
      <c r="H50" s="145">
        <f t="shared" si="4"/>
        <v>20</v>
      </c>
      <c r="I50" s="138">
        <f>'Тяжинское ДРСУ'!J57</f>
        <v>19</v>
      </c>
      <c r="J50" s="145">
        <f>'Тяжинское ДРСУ'!K57</f>
        <v>1</v>
      </c>
      <c r="K50" s="133">
        <f t="shared" si="1"/>
        <v>157</v>
      </c>
      <c r="L50" s="145">
        <f>'Тяжинское ДРСУ'!M57</f>
        <v>127</v>
      </c>
      <c r="M50" s="226">
        <f>'Тяжинское ДРСУ'!N57</f>
        <v>30</v>
      </c>
    </row>
    <row r="51" spans="1:13" ht="16.5" thickBot="1">
      <c r="A51" s="1106"/>
      <c r="B51" s="1140"/>
      <c r="C51" s="1141"/>
      <c r="D51" s="1116"/>
      <c r="E51" s="134"/>
      <c r="F51" s="157"/>
      <c r="G51" s="134"/>
      <c r="H51" s="210">
        <f t="shared" si="4"/>
        <v>314.5</v>
      </c>
      <c r="I51" s="209">
        <f>'Тяжинское ДРСУ'!J58</f>
        <v>307.5</v>
      </c>
      <c r="J51" s="210">
        <f>'Тяжинское ДРСУ'!K58</f>
        <v>7</v>
      </c>
      <c r="K51" s="135">
        <f t="shared" si="1"/>
        <v>2351</v>
      </c>
      <c r="L51" s="140">
        <f>'Тяжинское ДРСУ'!M58</f>
        <v>1977</v>
      </c>
      <c r="M51" s="221">
        <f>'Тяжинское ДРСУ'!N58</f>
        <v>374</v>
      </c>
    </row>
    <row r="52" spans="1:13" ht="15.75" customHeight="1">
      <c r="A52" s="1105">
        <v>20</v>
      </c>
      <c r="B52" s="1111" t="s">
        <v>1524</v>
      </c>
      <c r="C52" s="1112"/>
      <c r="D52" s="1117" t="s">
        <v>632</v>
      </c>
      <c r="E52" s="132">
        <f>F52+G52</f>
        <v>29.836</v>
      </c>
      <c r="F52" s="149">
        <f>'Новос Тяж район'!G53</f>
        <v>14.653</v>
      </c>
      <c r="G52" s="132">
        <f>'Новос Тяж район'!H53</f>
        <v>15.183</v>
      </c>
      <c r="H52" s="139">
        <f t="shared" si="4"/>
        <v>3</v>
      </c>
      <c r="I52" s="133">
        <f>'Новос Тяж район'!J53</f>
        <v>3</v>
      </c>
      <c r="J52" s="139">
        <f>'Новос Тяж район'!K53</f>
        <v>0</v>
      </c>
      <c r="K52" s="133">
        <f t="shared" si="1"/>
        <v>22</v>
      </c>
      <c r="L52" s="139">
        <f>'Новос Тяж район'!M53</f>
        <v>15</v>
      </c>
      <c r="M52" s="220">
        <f>'Новос Тяж район'!N53</f>
        <v>7</v>
      </c>
    </row>
    <row r="53" spans="1:13" ht="27" customHeight="1" thickBot="1">
      <c r="A53" s="1106"/>
      <c r="B53" s="1113"/>
      <c r="C53" s="1114"/>
      <c r="D53" s="1116"/>
      <c r="E53" s="134"/>
      <c r="F53" s="157"/>
      <c r="G53" s="134"/>
      <c r="H53" s="210">
        <f t="shared" si="4"/>
        <v>43.55</v>
      </c>
      <c r="I53" s="209">
        <f>'Новос Тяж район'!J54</f>
        <v>43.55</v>
      </c>
      <c r="J53" s="210">
        <f>'Новос Тяж район'!K54</f>
        <v>0</v>
      </c>
      <c r="K53" s="135">
        <f t="shared" si="1"/>
        <v>340</v>
      </c>
      <c r="L53" s="140">
        <f>'Новос Тяж район'!M54</f>
        <v>262</v>
      </c>
      <c r="M53" s="221">
        <f>'Новос Тяж район'!N54</f>
        <v>78</v>
      </c>
    </row>
    <row r="54" spans="1:13" ht="13.5" customHeight="1">
      <c r="A54" s="1105">
        <v>21</v>
      </c>
      <c r="B54" s="1111" t="s">
        <v>649</v>
      </c>
      <c r="C54" s="1112"/>
      <c r="D54" s="1117" t="s">
        <v>635</v>
      </c>
      <c r="E54" s="132">
        <f>F54+G54</f>
        <v>213.315</v>
      </c>
      <c r="F54" s="149">
        <f>'Чебулинское ДРСУ'!G56</f>
        <v>128.221</v>
      </c>
      <c r="G54" s="132">
        <f>'Чебулинское ДРСУ'!H56</f>
        <v>85.094</v>
      </c>
      <c r="H54" s="139">
        <f t="shared" si="4"/>
        <v>6</v>
      </c>
      <c r="I54" s="133">
        <f>'Чебулинское ДРСУ'!J56</f>
        <v>5</v>
      </c>
      <c r="J54" s="139">
        <f>'Чебулинское ДРСУ'!K56</f>
        <v>1</v>
      </c>
      <c r="K54" s="133">
        <f t="shared" si="1"/>
        <v>159</v>
      </c>
      <c r="L54" s="139">
        <f>'Чебулинское ДРСУ'!M56</f>
        <v>126</v>
      </c>
      <c r="M54" s="220">
        <f>'Чебулинское ДРСУ'!N56</f>
        <v>33</v>
      </c>
    </row>
    <row r="55" spans="1:13" ht="16.5" thickBot="1">
      <c r="A55" s="1106"/>
      <c r="B55" s="1113"/>
      <c r="C55" s="1114"/>
      <c r="D55" s="1116"/>
      <c r="E55" s="134"/>
      <c r="F55" s="157"/>
      <c r="G55" s="134"/>
      <c r="H55" s="210">
        <f t="shared" si="4"/>
        <v>684.8299999999999</v>
      </c>
      <c r="I55" s="209">
        <f>'Чебулинское ДРСУ'!J57</f>
        <v>305.33</v>
      </c>
      <c r="J55" s="210">
        <f>'Чебулинское ДРСУ'!K57</f>
        <v>379.5</v>
      </c>
      <c r="K55" s="135">
        <f t="shared" si="1"/>
        <v>2951</v>
      </c>
      <c r="L55" s="140">
        <f>'Чебулинское ДРСУ'!M57</f>
        <v>2493</v>
      </c>
      <c r="M55" s="221">
        <f>'Чебулинское ДРСУ'!N57</f>
        <v>458</v>
      </c>
    </row>
    <row r="56" spans="1:13" ht="15.75">
      <c r="A56" s="1105">
        <v>22</v>
      </c>
      <c r="B56" s="1111" t="s">
        <v>1222</v>
      </c>
      <c r="C56" s="1112"/>
      <c r="D56" s="1117" t="s">
        <v>1514</v>
      </c>
      <c r="E56" s="132">
        <f>F56+G56</f>
        <v>231.07600000000008</v>
      </c>
      <c r="F56" s="149">
        <f>'Юргинский район'!G84</f>
        <v>159.62800000000007</v>
      </c>
      <c r="G56" s="132">
        <f>'Юргинский район'!H84</f>
        <v>71.44800000000001</v>
      </c>
      <c r="H56" s="139">
        <f t="shared" si="4"/>
        <v>8</v>
      </c>
      <c r="I56" s="133">
        <f>'Юргинский район'!J84</f>
        <v>8</v>
      </c>
      <c r="J56" s="139">
        <f>'Юргинский район'!K84</f>
        <v>0</v>
      </c>
      <c r="K56" s="133">
        <f t="shared" si="1"/>
        <v>197</v>
      </c>
      <c r="L56" s="139">
        <f>'Юргинский район'!M84</f>
        <v>144</v>
      </c>
      <c r="M56" s="220">
        <f>'Юргинский район'!N84</f>
        <v>53</v>
      </c>
    </row>
    <row r="57" spans="1:13" ht="37.5" customHeight="1" thickBot="1">
      <c r="A57" s="1106"/>
      <c r="B57" s="1113"/>
      <c r="C57" s="1114"/>
      <c r="D57" s="1116"/>
      <c r="E57" s="134"/>
      <c r="F57" s="157"/>
      <c r="G57" s="134"/>
      <c r="H57" s="210">
        <f t="shared" si="4"/>
        <v>204.54000000000002</v>
      </c>
      <c r="I57" s="209">
        <f>'Юргинский район'!J85</f>
        <v>204.54000000000002</v>
      </c>
      <c r="J57" s="210">
        <f>'Юргинский район'!K85</f>
        <v>0</v>
      </c>
      <c r="K57" s="135">
        <f t="shared" si="1"/>
        <v>3414</v>
      </c>
      <c r="L57" s="140">
        <f>'Юргинский район'!M85</f>
        <v>2578</v>
      </c>
      <c r="M57" s="221">
        <f>'Юргинский район'!N85</f>
        <v>836</v>
      </c>
    </row>
    <row r="58" spans="1:13" ht="15.75">
      <c r="A58" s="1105">
        <v>23</v>
      </c>
      <c r="B58" s="1111" t="s">
        <v>1525</v>
      </c>
      <c r="C58" s="1112"/>
      <c r="D58" s="1117" t="s">
        <v>1515</v>
      </c>
      <c r="E58" s="132">
        <f>F58+G58</f>
        <v>264.34799999999996</v>
      </c>
      <c r="F58" s="149">
        <f>'Яйский филиал'!G57</f>
        <v>146.081</v>
      </c>
      <c r="G58" s="132">
        <f>'Яйский филиал'!H57</f>
        <v>118.267</v>
      </c>
      <c r="H58" s="139">
        <f t="shared" si="4"/>
        <v>15</v>
      </c>
      <c r="I58" s="133">
        <f>'Яйский филиал'!J57</f>
        <v>15</v>
      </c>
      <c r="J58" s="139">
        <f>'Яйский филиал'!K57</f>
        <v>0</v>
      </c>
      <c r="K58" s="133">
        <f t="shared" si="1"/>
        <v>276</v>
      </c>
      <c r="L58" s="139">
        <f>'Яйский филиал'!M57</f>
        <v>217</v>
      </c>
      <c r="M58" s="220">
        <f>'Яйский филиал'!N57</f>
        <v>59</v>
      </c>
    </row>
    <row r="59" spans="1:13" ht="26.25" customHeight="1" thickBot="1">
      <c r="A59" s="1106"/>
      <c r="B59" s="1159"/>
      <c r="C59" s="1160"/>
      <c r="D59" s="1137"/>
      <c r="E59" s="193"/>
      <c r="F59" s="194"/>
      <c r="G59" s="193"/>
      <c r="H59" s="212">
        <f t="shared" si="4"/>
        <v>653.73</v>
      </c>
      <c r="I59" s="213">
        <f>'Яйский филиал'!J58</f>
        <v>653.73</v>
      </c>
      <c r="J59" s="212">
        <f>'Яйский филиал'!K58</f>
        <v>0</v>
      </c>
      <c r="K59" s="135">
        <f t="shared" si="1"/>
        <v>5733</v>
      </c>
      <c r="L59" s="195">
        <f>'Яйский филиал'!M58</f>
        <v>5016</v>
      </c>
      <c r="M59" s="227">
        <f>'Яйский филиал'!N58</f>
        <v>717</v>
      </c>
    </row>
    <row r="60" spans="1:13" ht="15.75">
      <c r="A60" s="1105">
        <v>24</v>
      </c>
      <c r="B60" s="1138" t="s">
        <v>616</v>
      </c>
      <c r="C60" s="1139"/>
      <c r="D60" s="1117" t="s">
        <v>1516</v>
      </c>
      <c r="E60" s="132">
        <f>F60+G60</f>
        <v>245.09199999999998</v>
      </c>
      <c r="F60" s="149">
        <f>РегионДорСтрой!G88</f>
        <v>125.55</v>
      </c>
      <c r="G60" s="132">
        <f>РегионДорСтрой!H88</f>
        <v>119.542</v>
      </c>
      <c r="H60" s="139">
        <f t="shared" si="4"/>
        <v>5</v>
      </c>
      <c r="I60" s="133">
        <f>РегионДорСтрой!J88</f>
        <v>5</v>
      </c>
      <c r="J60" s="139">
        <f>РегионДорСтрой!K88</f>
        <v>0</v>
      </c>
      <c r="K60" s="133">
        <f t="shared" si="1"/>
        <v>245</v>
      </c>
      <c r="L60" s="145">
        <f>РегионДорСтрой!M88</f>
        <v>95</v>
      </c>
      <c r="M60" s="145">
        <f>РегионДорСтрой!N88</f>
        <v>150</v>
      </c>
    </row>
    <row r="61" spans="1:13" ht="16.5" thickBot="1">
      <c r="A61" s="1106"/>
      <c r="B61" s="1146"/>
      <c r="C61" s="1147"/>
      <c r="D61" s="1137"/>
      <c r="E61" s="193"/>
      <c r="F61" s="194"/>
      <c r="G61" s="193"/>
      <c r="H61" s="212">
        <f t="shared" si="4"/>
        <v>179.28000000000003</v>
      </c>
      <c r="I61" s="213">
        <f>РегионДорСтрой!J89</f>
        <v>179.28000000000003</v>
      </c>
      <c r="J61" s="212">
        <f>РегионДорСтрой!K89</f>
        <v>0</v>
      </c>
      <c r="K61" s="196">
        <f t="shared" si="1"/>
        <v>4680</v>
      </c>
      <c r="L61" s="195">
        <f>РегионДорСтрой!M89</f>
        <v>1986</v>
      </c>
      <c r="M61" s="195">
        <f>РегионДорСтрой!N89</f>
        <v>2694</v>
      </c>
    </row>
    <row r="62" spans="1:13" ht="15.75">
      <c r="A62" s="1148"/>
      <c r="B62" s="1152" t="s">
        <v>475</v>
      </c>
      <c r="C62" s="1153"/>
      <c r="D62" s="1157"/>
      <c r="E62" s="203">
        <f>F62+G62</f>
        <v>5516.068</v>
      </c>
      <c r="F62" s="203">
        <f aca="true" t="shared" si="5" ref="F62:M62">F8+F10+F12+F14+F16+F18+F20+F22+F24+F26+F28+F30+F32+F34+F36+F38+F40+F42+F44+F46+F48+F50+F52+F54+F56+F58+F60</f>
        <v>3632.282</v>
      </c>
      <c r="G62" s="203">
        <f t="shared" si="5"/>
        <v>1883.7859999999998</v>
      </c>
      <c r="H62" s="205">
        <f t="shared" si="5"/>
        <v>370</v>
      </c>
      <c r="I62" s="205">
        <f t="shared" si="5"/>
        <v>328</v>
      </c>
      <c r="J62" s="205">
        <f t="shared" si="5"/>
        <v>42</v>
      </c>
      <c r="K62" s="205">
        <f t="shared" si="5"/>
        <v>4978</v>
      </c>
      <c r="L62" s="205">
        <f t="shared" si="5"/>
        <v>3746</v>
      </c>
      <c r="M62" s="205">
        <f t="shared" si="5"/>
        <v>1232</v>
      </c>
    </row>
    <row r="63" spans="1:13" ht="16.5" thickBot="1">
      <c r="A63" s="1149"/>
      <c r="B63" s="1154"/>
      <c r="C63" s="1155"/>
      <c r="D63" s="1158"/>
      <c r="E63" s="204"/>
      <c r="F63" s="256"/>
      <c r="G63" s="256"/>
      <c r="H63" s="206">
        <f aca="true" t="shared" si="6" ref="H63:M63">H9+H11+H13+H15+H17+H19+H21+H23+H25+H27+H29+H31+H33+H35+H37+H39+H41+H43+H45+H47+H49+H51+H53+H55+H57+H59+H61</f>
        <v>18019.199999999997</v>
      </c>
      <c r="I63" s="206">
        <f t="shared" si="6"/>
        <v>13814.08</v>
      </c>
      <c r="J63" s="206">
        <f t="shared" si="6"/>
        <v>4205.12</v>
      </c>
      <c r="K63" s="208">
        <f t="shared" si="6"/>
        <v>95137</v>
      </c>
      <c r="L63" s="208">
        <f t="shared" si="6"/>
        <v>75883</v>
      </c>
      <c r="M63" s="208">
        <f t="shared" si="6"/>
        <v>19254</v>
      </c>
    </row>
    <row r="64" spans="2:10" ht="15.75">
      <c r="B64" s="1150" t="s">
        <v>454</v>
      </c>
      <c r="C64" s="177" t="s">
        <v>450</v>
      </c>
      <c r="D64" s="177"/>
      <c r="E64" s="185">
        <f>F64+G64</f>
        <v>198.221</v>
      </c>
      <c r="F64" s="202">
        <f>'Кемеровское дрсу'!G84+' Кем-Л-Кузн магистр'!G26+Новокузнецкое!G146</f>
        <v>198.221</v>
      </c>
      <c r="G64" s="202">
        <f>'Кемеровское дрсу'!H84+' Кем-Л-Кузн магистр'!H26+Новокузнецкое!H146</f>
        <v>0</v>
      </c>
      <c r="H64" s="1136"/>
      <c r="I64" s="1136"/>
      <c r="J64" s="1136"/>
    </row>
    <row r="65" spans="2:13" ht="15.75">
      <c r="B65" s="1151"/>
      <c r="C65" s="65" t="s">
        <v>100</v>
      </c>
      <c r="D65" s="65"/>
      <c r="E65" s="101">
        <f>F65+G65</f>
        <v>167.849</v>
      </c>
      <c r="F65" s="100">
        <f>'Кемеровское дрсу'!G85+Лель!G83+'Полысаев (Кемер район)'!G43+' Кем-Л-Кузн магистр'!G27+Новокузнецкое!G147+'Новокуз( Прок р-н)'!G61+Промышленновский!G58+'Юргинский район'!G87</f>
        <v>167.849</v>
      </c>
      <c r="G65" s="100">
        <f>'Кемеровское дрсу'!H85+Лель!H83+'Полысаев (Кемер район)'!H43+' Кем-Л-Кузн магистр'!H27+Новокузнецкое!H147+'Новокуз( Прок р-н)'!H61+Промышленновский!H58+'Юргинский район'!H87</f>
        <v>0</v>
      </c>
      <c r="H65" s="219"/>
      <c r="I65" s="219"/>
      <c r="J65" s="219"/>
      <c r="L65" s="1156"/>
      <c r="M65" s="1156"/>
    </row>
    <row r="66" spans="2:13" ht="15.75">
      <c r="B66" s="1151"/>
      <c r="C66" s="62" t="s">
        <v>102</v>
      </c>
      <c r="D66" s="62"/>
      <c r="E66" s="64">
        <f>F66+G66</f>
        <v>1308.6650000000002</v>
      </c>
      <c r="F66" s="100">
        <f>'Беловский '!G52+'Гурьевский '!G77+'Ижморский '!G65+'Кемеровское дрсу'!G86+Лель!G84+Крапивиноавтодор!G58+'Полысаев (Кемер район)'!G44+'Промышл (Л-Куз р-н)'!G62+' Кем-Л-Кузн магистр'!G28+Мариинский!G89+Новокузнецкое!G148+'Новокуз( Прок р-н)'!G62+Промышленновский!G59+Сократ!G52+Таштагол!G50+'ООО "Ресурс"'!G68+'Автодор (Топкинский район)'!G101+'Тяжинское ДРСУ'!G61+'Новос Тяж район'!G57+'Чебулинское ДРСУ'!G60+'Юргинский район'!G88+'Яйский филиал'!G61+РегионДорСтрой!G92</f>
        <v>1274.5600000000002</v>
      </c>
      <c r="G66" s="100">
        <f>'Беловский '!H52+'Гурьевский '!H77+'Ижморский '!H65+'Кемеровское дрсу'!H86+Лель!H84+Крапивиноавтодор!H58+'Полысаев (Кемер район)'!H44+'Промышл (Л-Куз р-н)'!H62+' Кем-Л-Кузн магистр'!H28+Мариинский!H89+Новокузнецкое!H148+'Новокуз( Прок р-н)'!H62+Промышленновский!H59+Сократ!H52+Таштагол!H50+'ООО "Ресурс"'!H68+'Автодор (Топкинский район)'!H101+'Тяжинское ДРСУ'!H61+'Новос Тяж район'!H57+'Чебулинское ДРСУ'!H60+'Юргинский район'!H88+'Яйский филиал'!H61+РегионДорСтрой!H92</f>
        <v>34.105000000000004</v>
      </c>
      <c r="H66" s="197"/>
      <c r="I66" s="197"/>
      <c r="J66" s="197"/>
      <c r="L66" s="197"/>
      <c r="M66" s="197"/>
    </row>
    <row r="67" spans="2:10" ht="15.75">
      <c r="B67" s="1151"/>
      <c r="C67" s="66" t="s">
        <v>27</v>
      </c>
      <c r="D67" s="66"/>
      <c r="E67" s="64">
        <f>F67+G67</f>
        <v>3373.633999999999</v>
      </c>
      <c r="F67" s="100">
        <f>'Беловский '!G53+'Гурьевский '!G78+'Ижморский '!G66+'Кемеровское дрсу'!G87+Крапивиноавтодор!G59+'Полысаев (Кемер район)'!G45+'Промышл (Л-Куз р-н)'!G63+' Кем-Л-Кузн магистр'!G29+Мариинский!G90+Новокузнецкое!G149+'Новокуз( Прок р-н)'!G63+'Шушан '!G67+Промышленновский!G60+Сократ!G53+Таштагол!G51+'ООО "Ресурс"'!G69+'Автодор (Топкинский район)'!G102+'Тяжинское ДРСУ'!G62+'Новос Тяж район'!G58+'Чебулинское ДРСУ'!G61+'Юргинский район'!G89+'Яйский филиал'!G62+РегионДорСтрой!G93</f>
        <v>1913.8839999999993</v>
      </c>
      <c r="G67" s="100">
        <f>'Беловский '!H53+'Гурьевский '!H78+'Ижморский '!H66+'Кемеровское дрсу'!H87+Крапивиноавтодор!H59+'Полысаев (Кемер район)'!H45+'Промышл (Л-Куз р-н)'!H63+' Кем-Л-Кузн магистр'!H29+Мариинский!H90+Новокузнецкое!H149+'Новокуз( Прок р-н)'!H63+'Шушан '!H67+Промышленновский!H60+Сократ!H53+Таштагол!H51+'ООО "Ресурс"'!H69+'Автодор (Топкинский район)'!H102+'Тяжинское ДРСУ'!H62+'Новос Тяж район'!H58+'Чебулинское ДРСУ'!H61+'Юргинский район'!H89+'Яйский филиал'!H62+РегионДорСтрой!H93</f>
        <v>1459.7499999999998</v>
      </c>
      <c r="H67" s="1135"/>
      <c r="I67" s="1135"/>
      <c r="J67" s="1135"/>
    </row>
    <row r="68" spans="2:13" ht="15.75">
      <c r="B68" s="1151"/>
      <c r="C68" s="66" t="s">
        <v>49</v>
      </c>
      <c r="D68" s="66"/>
      <c r="E68" s="101">
        <f>F68+G68</f>
        <v>467.69899999999996</v>
      </c>
      <c r="F68" s="100">
        <f>'Беловский '!G54+'Гурьевский '!G79+'Ижморский '!G67+'Кемеровское дрсу'!G88+Крапивиноавтодор!G60+'Полысаев (Кемер район)'!G46+'Промышл (Л-Куз р-н)'!G64+Промышленновский!G61+Сократ!G54+'Шушан '!G68+Таштагол!G52+'ООО "Ресурс"'!G70+'Автодор (Топкинский район)'!G103+'Новос Тяж район'!G59+'Чебулинское ДРСУ'!G62+'Юргинский район'!G90+РегионДорСтрой!G94</f>
        <v>77.768</v>
      </c>
      <c r="G68" s="100">
        <f>'Беловский '!H54+'Гурьевский '!H79+'Ижморский '!H67+'Кемеровское дрсу'!H88+Крапивиноавтодор!H60+'Полысаев (Кемер район)'!H46+'Промышл (Л-Куз р-н)'!H64+Промышленновский!H61+Сократ!H54+'Шушан '!H68+Таштагол!H52+'ООО "Ресурс"'!H70+'Автодор (Топкинский район)'!H103+'Новос Тяж район'!H59+'Чебулинское ДРСУ'!H62+'Юргинский район'!H90+РегионДорСтрой!H94</f>
        <v>389.9309999999999</v>
      </c>
      <c r="H68" s="182"/>
      <c r="I68" s="182"/>
      <c r="J68" s="182"/>
      <c r="K68" s="1104"/>
      <c r="L68" s="1104"/>
      <c r="M68" s="1104"/>
    </row>
    <row r="69" spans="6:13" ht="15.75">
      <c r="F69" s="51"/>
      <c r="G69" s="51"/>
      <c r="H69" s="182"/>
      <c r="I69" s="191"/>
      <c r="J69" s="182"/>
      <c r="K69" s="1844"/>
      <c r="L69" s="1844"/>
      <c r="M69" s="1844"/>
    </row>
    <row r="70" spans="5:7" ht="15.75" hidden="1">
      <c r="E70" s="119">
        <f>E64+E65+E66+E67+E68</f>
        <v>5516.067999999998</v>
      </c>
      <c r="F70" s="119">
        <f>F64+F65+F66+F67+F68</f>
        <v>3632.2819999999992</v>
      </c>
      <c r="G70" s="119">
        <f>G64+G65+G66+G67+G68</f>
        <v>1883.7859999999996</v>
      </c>
    </row>
    <row r="71" spans="5:7" ht="15.75">
      <c r="E71" s="119"/>
      <c r="G71" s="119"/>
    </row>
    <row r="72" spans="2:13" ht="15.75" hidden="1">
      <c r="B72" s="90" t="s">
        <v>629</v>
      </c>
      <c r="E72" s="99">
        <f>F72+G72</f>
        <v>5515.108</v>
      </c>
      <c r="F72" s="99">
        <f>F62-F77</f>
        <v>3631.322</v>
      </c>
      <c r="G72" s="99">
        <f>G62</f>
        <v>1883.7859999999998</v>
      </c>
      <c r="H72" s="123">
        <f>I72+J72</f>
        <v>370</v>
      </c>
      <c r="I72" s="123">
        <f>I62-I75</f>
        <v>328</v>
      </c>
      <c r="J72" s="123">
        <f>J62</f>
        <v>42</v>
      </c>
      <c r="K72" s="123">
        <f>L72+M72</f>
        <v>4977</v>
      </c>
      <c r="L72" s="123">
        <f>L62-L76</f>
        <v>3745</v>
      </c>
      <c r="M72" s="123">
        <f>M62-M76</f>
        <v>1232</v>
      </c>
    </row>
    <row r="73" spans="5:13" ht="15.75" hidden="1">
      <c r="E73" s="90"/>
      <c r="F73" s="90"/>
      <c r="G73" s="90"/>
      <c r="H73" s="123">
        <f>I73+J73</f>
        <v>18019.2</v>
      </c>
      <c r="I73" s="123">
        <f>I63-I76</f>
        <v>13814.08</v>
      </c>
      <c r="J73" s="123">
        <f>J63</f>
        <v>4205.12</v>
      </c>
      <c r="K73" s="123">
        <f>L73+M73</f>
        <v>95125</v>
      </c>
      <c r="L73" s="123">
        <f>L63-L77</f>
        <v>75871</v>
      </c>
      <c r="M73" s="123">
        <f>M63-M77</f>
        <v>19254</v>
      </c>
    </row>
    <row r="74" spans="8:13" ht="15.75" hidden="1">
      <c r="H74" s="129"/>
      <c r="I74" s="129"/>
      <c r="J74" s="129"/>
      <c r="K74" s="129"/>
      <c r="L74" s="129"/>
      <c r="M74" s="129"/>
    </row>
    <row r="75" spans="5:13" ht="15.75" hidden="1">
      <c r="E75" s="130"/>
      <c r="F75" s="130"/>
      <c r="G75" s="130"/>
      <c r="H75" s="130"/>
      <c r="I75" s="130"/>
      <c r="J75" s="130"/>
      <c r="K75" s="130"/>
      <c r="L75" s="130"/>
      <c r="M75" s="130"/>
    </row>
    <row r="76" spans="5:13" ht="15.75" hidden="1">
      <c r="E76" s="130"/>
      <c r="F76" s="130"/>
      <c r="G76" s="130"/>
      <c r="H76" s="130"/>
      <c r="I76" s="130"/>
      <c r="J76" s="130"/>
      <c r="K76" s="130"/>
      <c r="L76" s="130">
        <v>1</v>
      </c>
      <c r="M76" s="130"/>
    </row>
    <row r="77" spans="5:13" ht="15.75" hidden="1">
      <c r="E77" s="183" t="s">
        <v>630</v>
      </c>
      <c r="F77" s="130">
        <v>0.96</v>
      </c>
      <c r="G77" s="130" t="s">
        <v>631</v>
      </c>
      <c r="H77" s="130"/>
      <c r="I77" s="130"/>
      <c r="J77" s="130"/>
      <c r="K77" s="130"/>
      <c r="L77" s="130">
        <v>12</v>
      </c>
      <c r="M77" s="130"/>
    </row>
    <row r="78" spans="5:7" ht="15.75" hidden="1">
      <c r="E78" s="119">
        <f aca="true" t="shared" si="7" ref="E78:E83">F78+G78</f>
        <v>5515.107999999998</v>
      </c>
      <c r="F78" s="119">
        <f>F79+F80+F81+F82+F83</f>
        <v>3631.321999999999</v>
      </c>
      <c r="G78" s="119">
        <f>G79+G80+G81+G82+G83</f>
        <v>1883.7859999999996</v>
      </c>
    </row>
    <row r="79" spans="3:7" ht="15.75" hidden="1">
      <c r="C79" s="62" t="s">
        <v>450</v>
      </c>
      <c r="E79" s="119">
        <f t="shared" si="7"/>
        <v>198.221</v>
      </c>
      <c r="F79" s="119">
        <f>F64</f>
        <v>198.221</v>
      </c>
      <c r="G79" s="119">
        <f>G64</f>
        <v>0</v>
      </c>
    </row>
    <row r="80" spans="3:7" ht="15.75" hidden="1">
      <c r="C80" s="65" t="s">
        <v>100</v>
      </c>
      <c r="E80" s="119">
        <f t="shared" si="7"/>
        <v>167.849</v>
      </c>
      <c r="F80" s="119">
        <f>F65</f>
        <v>167.849</v>
      </c>
      <c r="G80" s="119">
        <f>G65</f>
        <v>0</v>
      </c>
    </row>
    <row r="81" spans="3:7" ht="15.75" hidden="1">
      <c r="C81" s="62" t="s">
        <v>102</v>
      </c>
      <c r="E81" s="119">
        <f t="shared" si="7"/>
        <v>1307.7050000000002</v>
      </c>
      <c r="F81" s="119">
        <f>F66-0.96</f>
        <v>1273.6000000000001</v>
      </c>
      <c r="G81" s="119">
        <f>G66</f>
        <v>34.105000000000004</v>
      </c>
    </row>
    <row r="82" spans="3:11" ht="15.75" hidden="1">
      <c r="C82" s="66" t="s">
        <v>27</v>
      </c>
      <c r="E82" s="119">
        <f t="shared" si="7"/>
        <v>3373.633999999999</v>
      </c>
      <c r="F82" s="119">
        <f>F67</f>
        <v>1913.8839999999993</v>
      </c>
      <c r="G82" s="119">
        <f>G67</f>
        <v>1459.7499999999998</v>
      </c>
      <c r="K82" s="119"/>
    </row>
    <row r="83" spans="3:7" ht="15.75" hidden="1">
      <c r="C83" s="66" t="s">
        <v>49</v>
      </c>
      <c r="E83" s="119">
        <f t="shared" si="7"/>
        <v>467.69899999999996</v>
      </c>
      <c r="F83" s="119">
        <f>F68</f>
        <v>77.768</v>
      </c>
      <c r="G83" s="119">
        <f>G68</f>
        <v>389.9309999999999</v>
      </c>
    </row>
  </sheetData>
  <sheetProtection/>
  <mergeCells count="104">
    <mergeCell ref="L65:M65"/>
    <mergeCell ref="A16:A17"/>
    <mergeCell ref="B16:C17"/>
    <mergeCell ref="D16:D17"/>
    <mergeCell ref="B24:C25"/>
    <mergeCell ref="A24:A25"/>
    <mergeCell ref="D62:D63"/>
    <mergeCell ref="D44:D45"/>
    <mergeCell ref="D42:D43"/>
    <mergeCell ref="B58:C59"/>
    <mergeCell ref="D40:D41"/>
    <mergeCell ref="D58:D59"/>
    <mergeCell ref="D56:D57"/>
    <mergeCell ref="D54:D55"/>
    <mergeCell ref="D52:D53"/>
    <mergeCell ref="B44:C45"/>
    <mergeCell ref="B46:C47"/>
    <mergeCell ref="B64:B68"/>
    <mergeCell ref="B62:C63"/>
    <mergeCell ref="B50:C51"/>
    <mergeCell ref="B40:C41"/>
    <mergeCell ref="B42:C43"/>
    <mergeCell ref="A48:A49"/>
    <mergeCell ref="A50:A51"/>
    <mergeCell ref="A54:A55"/>
    <mergeCell ref="B54:C55"/>
    <mergeCell ref="B48:C49"/>
    <mergeCell ref="A60:A61"/>
    <mergeCell ref="B60:C61"/>
    <mergeCell ref="A62:A63"/>
    <mergeCell ref="A56:A57"/>
    <mergeCell ref="A40:A41"/>
    <mergeCell ref="A52:A53"/>
    <mergeCell ref="A44:A45"/>
    <mergeCell ref="B52:C53"/>
    <mergeCell ref="A42:A43"/>
    <mergeCell ref="B56:C57"/>
    <mergeCell ref="A20:A21"/>
    <mergeCell ref="B20:C21"/>
    <mergeCell ref="A28:A29"/>
    <mergeCell ref="B22:C23"/>
    <mergeCell ref="D38:D39"/>
    <mergeCell ref="B36:C37"/>
    <mergeCell ref="B38:C39"/>
    <mergeCell ref="A22:A23"/>
    <mergeCell ref="D32:D33"/>
    <mergeCell ref="D20:D21"/>
    <mergeCell ref="H67:J67"/>
    <mergeCell ref="D48:D49"/>
    <mergeCell ref="D50:D51"/>
    <mergeCell ref="H64:J64"/>
    <mergeCell ref="A46:A47"/>
    <mergeCell ref="D34:D35"/>
    <mergeCell ref="D46:D47"/>
    <mergeCell ref="A38:A39"/>
    <mergeCell ref="D60:D61"/>
    <mergeCell ref="A58:A59"/>
    <mergeCell ref="D26:D27"/>
    <mergeCell ref="D24:D25"/>
    <mergeCell ref="H6:H7"/>
    <mergeCell ref="I6:J6"/>
    <mergeCell ref="F6:G6"/>
    <mergeCell ref="A1:M1"/>
    <mergeCell ref="A2:M2"/>
    <mergeCell ref="A3:M3"/>
    <mergeCell ref="A4:M4"/>
    <mergeCell ref="A5:A7"/>
    <mergeCell ref="H5:J5"/>
    <mergeCell ref="K5:M5"/>
    <mergeCell ref="E5:G5"/>
    <mergeCell ref="L6:M6"/>
    <mergeCell ref="E6:E7"/>
    <mergeCell ref="B10:C11"/>
    <mergeCell ref="K6:K7"/>
    <mergeCell ref="D10:D11"/>
    <mergeCell ref="D5:D7"/>
    <mergeCell ref="B5:C7"/>
    <mergeCell ref="D8:D9"/>
    <mergeCell ref="A36:A37"/>
    <mergeCell ref="D36:D37"/>
    <mergeCell ref="D18:D19"/>
    <mergeCell ref="D30:D31"/>
    <mergeCell ref="A12:A13"/>
    <mergeCell ref="B12:C13"/>
    <mergeCell ref="A18:A19"/>
    <mergeCell ref="B18:C19"/>
    <mergeCell ref="D22:D23"/>
    <mergeCell ref="D28:D29"/>
    <mergeCell ref="A8:A9"/>
    <mergeCell ref="D12:D13"/>
    <mergeCell ref="B14:C15"/>
    <mergeCell ref="D14:D15"/>
    <mergeCell ref="A34:A35"/>
    <mergeCell ref="B34:C35"/>
    <mergeCell ref="B32:C33"/>
    <mergeCell ref="B30:C31"/>
    <mergeCell ref="A30:A31"/>
    <mergeCell ref="A14:A15"/>
    <mergeCell ref="A32:A33"/>
    <mergeCell ref="A26:A27"/>
    <mergeCell ref="B28:C29"/>
    <mergeCell ref="B26:C27"/>
    <mergeCell ref="A10:A11"/>
    <mergeCell ref="B8:C9"/>
  </mergeCells>
  <printOptions/>
  <pageMargins left="0.7480314960629921" right="0.1968503937007874" top="0.5905511811023623" bottom="0.3937007874015748" header="0.4724409448818898" footer="0.35433070866141736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SheetLayoutView="100" zoomScalePageLayoutView="0" workbookViewId="0" topLeftCell="A1">
      <selection activeCell="O1" sqref="O1:U16384"/>
    </sheetView>
  </sheetViews>
  <sheetFormatPr defaultColWidth="9.00390625" defaultRowHeight="12.75"/>
  <cols>
    <col min="1" max="1" width="6.125" style="0" customWidth="1"/>
    <col min="2" max="2" width="11.875" style="53" customWidth="1"/>
    <col min="3" max="3" width="28.125" style="0" customWidth="1"/>
    <col min="4" max="4" width="7.25390625" style="0" customWidth="1"/>
    <col min="7" max="7" width="9.75390625" style="0" bestFit="1" customWidth="1"/>
    <col min="9" max="9" width="9.875" style="0" customWidth="1"/>
    <col min="10" max="10" width="9.75390625" style="0" customWidth="1"/>
    <col min="11" max="11" width="7.625" style="0" customWidth="1"/>
    <col min="12" max="12" width="9.75390625" style="0" bestFit="1" customWidth="1"/>
  </cols>
  <sheetData>
    <row r="1" spans="1:14" ht="12.75">
      <c r="A1" s="1564" t="s">
        <v>1305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</row>
    <row r="2" spans="1:14" ht="12.75">
      <c r="A2" s="1565" t="s">
        <v>1435</v>
      </c>
      <c r="B2" s="1565"/>
      <c r="C2" s="1565"/>
      <c r="D2" s="1565"/>
      <c r="E2" s="1565"/>
      <c r="F2" s="1565"/>
      <c r="G2" s="1565"/>
      <c r="H2" s="1565"/>
      <c r="I2" s="1565"/>
      <c r="J2" s="1565"/>
      <c r="K2" s="1565"/>
      <c r="L2" s="1565"/>
      <c r="M2" s="1565"/>
      <c r="N2" s="1565"/>
    </row>
    <row r="3" spans="1:14" ht="32.25" customHeight="1" thickBot="1">
      <c r="A3" s="1566" t="s">
        <v>1415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</row>
    <row r="4" spans="1:14" ht="13.5" customHeight="1" thickBot="1">
      <c r="A4" s="1208" t="s">
        <v>9</v>
      </c>
      <c r="B4" s="1203" t="s">
        <v>735</v>
      </c>
      <c r="C4" s="1209" t="s">
        <v>455</v>
      </c>
      <c r="D4" s="1203" t="s">
        <v>231</v>
      </c>
      <c r="E4" s="1211" t="s">
        <v>622</v>
      </c>
      <c r="F4" s="1203" t="s">
        <v>623</v>
      </c>
      <c r="G4" s="1209" t="s">
        <v>4</v>
      </c>
      <c r="H4" s="1209"/>
      <c r="I4" s="1208" t="s">
        <v>458</v>
      </c>
      <c r="J4" s="1209"/>
      <c r="K4" s="1210"/>
      <c r="L4" s="1216" t="s">
        <v>19</v>
      </c>
      <c r="M4" s="1217"/>
      <c r="N4" s="1567"/>
    </row>
    <row r="5" spans="1:14" ht="13.5" thickBot="1">
      <c r="A5" s="1226"/>
      <c r="B5" s="1204"/>
      <c r="C5" s="1214"/>
      <c r="D5" s="1207"/>
      <c r="E5" s="1212"/>
      <c r="F5" s="1204"/>
      <c r="G5" s="1203" t="s">
        <v>456</v>
      </c>
      <c r="H5" s="1224" t="s">
        <v>457</v>
      </c>
      <c r="I5" s="1222" t="s">
        <v>5</v>
      </c>
      <c r="J5" s="1220" t="s">
        <v>4</v>
      </c>
      <c r="K5" s="1221"/>
      <c r="L5" s="1222" t="s">
        <v>5</v>
      </c>
      <c r="M5" s="1219" t="s">
        <v>4</v>
      </c>
      <c r="N5" s="1567"/>
    </row>
    <row r="6" spans="1:14" ht="13.5" thickBot="1">
      <c r="A6" s="1227"/>
      <c r="B6" s="1205"/>
      <c r="C6" s="1215"/>
      <c r="D6" s="1206"/>
      <c r="E6" s="1213"/>
      <c r="F6" s="1205"/>
      <c r="G6" s="1206"/>
      <c r="H6" s="1225"/>
      <c r="I6" s="1223"/>
      <c r="J6" s="50" t="s">
        <v>6</v>
      </c>
      <c r="K6" s="73" t="s">
        <v>7</v>
      </c>
      <c r="L6" s="1223"/>
      <c r="M6" s="73" t="s">
        <v>6</v>
      </c>
      <c r="N6" s="50" t="s">
        <v>7</v>
      </c>
    </row>
    <row r="7" spans="1:15" ht="12.75" customHeight="1">
      <c r="A7" s="897">
        <v>1</v>
      </c>
      <c r="B7" s="963" t="s">
        <v>1276</v>
      </c>
      <c r="C7" s="1243" t="s">
        <v>1246</v>
      </c>
      <c r="D7" s="1562" t="s">
        <v>450</v>
      </c>
      <c r="E7" s="1560" t="s">
        <v>1434</v>
      </c>
      <c r="F7" s="1555">
        <f>G7+H7</f>
        <v>164.13</v>
      </c>
      <c r="G7" s="1555">
        <v>164.13</v>
      </c>
      <c r="H7" s="1568">
        <v>0</v>
      </c>
      <c r="I7" s="91">
        <f>J7+K7</f>
        <v>26</v>
      </c>
      <c r="J7" s="184">
        <v>26</v>
      </c>
      <c r="K7" s="91">
        <v>0</v>
      </c>
      <c r="L7" s="91">
        <f>M7+N7</f>
        <v>141</v>
      </c>
      <c r="M7" s="184">
        <f>39+79</f>
        <v>118</v>
      </c>
      <c r="N7" s="294">
        <f>14+9</f>
        <v>23</v>
      </c>
      <c r="O7" s="1"/>
    </row>
    <row r="8" spans="1:15" ht="33.75" customHeight="1">
      <c r="A8" s="395"/>
      <c r="B8" s="964"/>
      <c r="C8" s="1557"/>
      <c r="D8" s="1563"/>
      <c r="E8" s="1561"/>
      <c r="F8" s="1556"/>
      <c r="G8" s="1556"/>
      <c r="H8" s="1569"/>
      <c r="I8" s="1010">
        <f>J8+K8</f>
        <v>1306.815</v>
      </c>
      <c r="J8" s="1011">
        <f>657.235+644.3-0.1+5.38</f>
        <v>1306.815</v>
      </c>
      <c r="K8" s="12">
        <v>0</v>
      </c>
      <c r="L8" s="1012">
        <f>M8+N8</f>
        <v>5961</v>
      </c>
      <c r="M8" s="1013">
        <f>2086+3077</f>
        <v>5163</v>
      </c>
      <c r="N8" s="1014">
        <f>641+157</f>
        <v>798</v>
      </c>
      <c r="O8" s="595"/>
    </row>
    <row r="9" spans="1:14" ht="39" customHeight="1">
      <c r="A9" s="395"/>
      <c r="B9" s="964"/>
      <c r="C9" s="909" t="s">
        <v>4</v>
      </c>
      <c r="D9" s="295" t="s">
        <v>657</v>
      </c>
      <c r="E9" s="296" t="s">
        <v>1436</v>
      </c>
      <c r="F9" s="257">
        <f>6.3+96.226</f>
        <v>102.526</v>
      </c>
      <c r="G9" s="941"/>
      <c r="H9" s="945"/>
      <c r="I9" s="908"/>
      <c r="J9" s="939"/>
      <c r="K9" s="939"/>
      <c r="L9" s="908"/>
      <c r="M9" s="906"/>
      <c r="N9" s="943"/>
    </row>
    <row r="10" spans="1:14" ht="24">
      <c r="A10" s="395"/>
      <c r="B10" s="964"/>
      <c r="C10" s="909"/>
      <c r="D10" s="295" t="s">
        <v>656</v>
      </c>
      <c r="E10" s="296" t="s">
        <v>653</v>
      </c>
      <c r="F10" s="282">
        <v>24.599</v>
      </c>
      <c r="G10" s="941"/>
      <c r="H10" s="945"/>
      <c r="I10" s="908"/>
      <c r="J10" s="908"/>
      <c r="K10" s="908"/>
      <c r="L10" s="908"/>
      <c r="M10" s="906"/>
      <c r="N10" s="943"/>
    </row>
    <row r="11" spans="1:14" ht="28.5" customHeight="1" thickBot="1">
      <c r="A11" s="396"/>
      <c r="B11" s="1015"/>
      <c r="C11" s="899"/>
      <c r="D11" s="1016" t="s">
        <v>655</v>
      </c>
      <c r="E11" s="1017" t="s">
        <v>1304</v>
      </c>
      <c r="F11" s="331">
        <v>37.005</v>
      </c>
      <c r="G11" s="900"/>
      <c r="H11" s="901"/>
      <c r="I11" s="898"/>
      <c r="J11" s="898"/>
      <c r="K11" s="898"/>
      <c r="L11" s="898"/>
      <c r="M11" s="907"/>
      <c r="N11" s="950"/>
    </row>
    <row r="12" spans="1:14" ht="12.75">
      <c r="A12" s="1239"/>
      <c r="B12" s="963"/>
      <c r="C12" s="1243" t="s">
        <v>577</v>
      </c>
      <c r="D12" s="1245" t="s">
        <v>27</v>
      </c>
      <c r="E12" s="1257" t="s">
        <v>628</v>
      </c>
      <c r="F12" s="1249">
        <f>G12+H12</f>
        <v>1.5</v>
      </c>
      <c r="G12" s="1249">
        <v>1.5</v>
      </c>
      <c r="H12" s="1249">
        <v>0</v>
      </c>
      <c r="I12" s="263">
        <f>J12+K12</f>
        <v>2</v>
      </c>
      <c r="J12" s="265">
        <v>2</v>
      </c>
      <c r="K12" s="325">
        <v>0</v>
      </c>
      <c r="L12" s="263">
        <f>M12+N12</f>
        <v>5</v>
      </c>
      <c r="M12" s="263">
        <v>5</v>
      </c>
      <c r="N12" s="325">
        <v>0</v>
      </c>
    </row>
    <row r="13" spans="1:14" ht="13.5" thickBot="1">
      <c r="A13" s="1307"/>
      <c r="B13" s="1015"/>
      <c r="C13" s="1244"/>
      <c r="D13" s="1246"/>
      <c r="E13" s="1261"/>
      <c r="F13" s="1250"/>
      <c r="G13" s="1250"/>
      <c r="H13" s="1250"/>
      <c r="I13" s="900">
        <f>J13+K13</f>
        <v>61.2</v>
      </c>
      <c r="J13" s="1018">
        <v>61.2</v>
      </c>
      <c r="K13" s="950"/>
      <c r="L13" s="898">
        <f>M13+N13</f>
        <v>93</v>
      </c>
      <c r="M13" s="898">
        <v>93</v>
      </c>
      <c r="N13" s="950">
        <v>0</v>
      </c>
    </row>
    <row r="14" spans="1:14" ht="12.75">
      <c r="A14" s="1307"/>
      <c r="B14" s="963"/>
      <c r="C14" s="1243" t="s">
        <v>1328</v>
      </c>
      <c r="D14" s="1558" t="s">
        <v>620</v>
      </c>
      <c r="E14" s="1257" t="s">
        <v>1497</v>
      </c>
      <c r="F14" s="1247">
        <f>G14+H14</f>
        <v>14.848</v>
      </c>
      <c r="G14" s="1247">
        <f>9.916+4.17+0.762</f>
        <v>14.848</v>
      </c>
      <c r="H14" s="1249">
        <v>0</v>
      </c>
      <c r="I14" s="263">
        <f>J14+K14</f>
        <v>4</v>
      </c>
      <c r="J14" s="264">
        <f>3+1</f>
        <v>4</v>
      </c>
      <c r="K14" s="325">
        <v>0</v>
      </c>
      <c r="L14" s="263">
        <f>M14+N14</f>
        <v>21</v>
      </c>
      <c r="M14" s="264">
        <f>12+7</f>
        <v>19</v>
      </c>
      <c r="N14" s="325">
        <v>2</v>
      </c>
    </row>
    <row r="15" spans="1:14" ht="44.25" customHeight="1">
      <c r="A15" s="1307"/>
      <c r="B15" s="964"/>
      <c r="C15" s="1315"/>
      <c r="D15" s="1559"/>
      <c r="E15" s="1547"/>
      <c r="F15" s="1393"/>
      <c r="G15" s="1256"/>
      <c r="H15" s="1414"/>
      <c r="I15" s="938">
        <f>J15+K15</f>
        <v>310.49499999999995</v>
      </c>
      <c r="J15" s="966">
        <f>220.45+90.335-0.29</f>
        <v>310.49499999999995</v>
      </c>
      <c r="K15" s="944">
        <v>0</v>
      </c>
      <c r="L15" s="938">
        <f>M15+N15</f>
        <v>590</v>
      </c>
      <c r="M15" s="966">
        <v>531</v>
      </c>
      <c r="N15" s="944">
        <v>59</v>
      </c>
    </row>
    <row r="16" spans="1:14" ht="12.75">
      <c r="A16" s="1307"/>
      <c r="B16" s="964"/>
      <c r="C16" s="909" t="s">
        <v>4</v>
      </c>
      <c r="D16" s="297" t="s">
        <v>100</v>
      </c>
      <c r="E16" s="1545">
        <f>F16+F17+F18</f>
        <v>14.848</v>
      </c>
      <c r="F16" s="946">
        <f>G16+H16</f>
        <v>1.697</v>
      </c>
      <c r="G16" s="946">
        <v>1.697</v>
      </c>
      <c r="H16" s="947"/>
      <c r="I16" s="939"/>
      <c r="J16" s="939"/>
      <c r="K16" s="939"/>
      <c r="L16" s="939"/>
      <c r="M16" s="939"/>
      <c r="N16" s="942"/>
    </row>
    <row r="17" spans="1:14" ht="12.75">
      <c r="A17" s="1307"/>
      <c r="B17" s="964"/>
      <c r="C17" s="909"/>
      <c r="D17" s="297" t="s">
        <v>102</v>
      </c>
      <c r="E17" s="1546"/>
      <c r="F17" s="946">
        <f>G17+H17</f>
        <v>2.171</v>
      </c>
      <c r="G17" s="946">
        <v>2.171</v>
      </c>
      <c r="H17" s="947"/>
      <c r="I17" s="908"/>
      <c r="J17" s="908"/>
      <c r="K17" s="908"/>
      <c r="L17" s="908"/>
      <c r="M17" s="908"/>
      <c r="N17" s="943"/>
    </row>
    <row r="18" spans="1:14" ht="13.5" thickBot="1">
      <c r="A18" s="1307"/>
      <c r="B18" s="1015"/>
      <c r="C18" s="899"/>
      <c r="D18" s="345" t="s">
        <v>27</v>
      </c>
      <c r="E18" s="1491"/>
      <c r="F18" s="948">
        <f>G18+H18</f>
        <v>10.98</v>
      </c>
      <c r="G18" s="948">
        <v>10.98</v>
      </c>
      <c r="H18" s="346"/>
      <c r="I18" s="898"/>
      <c r="J18" s="898"/>
      <c r="K18" s="898"/>
      <c r="L18" s="898"/>
      <c r="M18" s="898"/>
      <c r="N18" s="950"/>
    </row>
    <row r="19" spans="1:14" s="392" customFormat="1" ht="12.75" customHeight="1">
      <c r="A19" s="1307"/>
      <c r="B19" s="796"/>
      <c r="C19" s="1412" t="s">
        <v>1302</v>
      </c>
      <c r="D19" s="1412" t="s">
        <v>620</v>
      </c>
      <c r="E19" s="1543" t="s">
        <v>1308</v>
      </c>
      <c r="F19" s="1405">
        <f>G19+H19</f>
        <v>25.330000000000002</v>
      </c>
      <c r="G19" s="1405">
        <f>G21+G22+G23</f>
        <v>25.330000000000002</v>
      </c>
      <c r="H19" s="1413">
        <v>0</v>
      </c>
      <c r="I19" s="269">
        <f>J19+K19</f>
        <v>14</v>
      </c>
      <c r="J19" s="269">
        <v>14</v>
      </c>
      <c r="K19" s="262">
        <v>0</v>
      </c>
      <c r="L19" s="269">
        <f>M19+N19</f>
        <v>0</v>
      </c>
      <c r="M19" s="269">
        <v>0</v>
      </c>
      <c r="N19" s="268">
        <v>0</v>
      </c>
    </row>
    <row r="20" spans="1:14" s="392" customFormat="1" ht="160.5" customHeight="1">
      <c r="A20" s="1307"/>
      <c r="B20" s="796"/>
      <c r="C20" s="1412"/>
      <c r="D20" s="1258"/>
      <c r="E20" s="1544"/>
      <c r="F20" s="1256"/>
      <c r="G20" s="1256"/>
      <c r="H20" s="1414"/>
      <c r="I20" s="941">
        <f>J20+K20</f>
        <v>1056.19</v>
      </c>
      <c r="J20" s="904">
        <v>1056.19</v>
      </c>
      <c r="K20" s="906">
        <v>0</v>
      </c>
      <c r="L20" s="908">
        <f>M20+N20</f>
        <v>0</v>
      </c>
      <c r="M20" s="938">
        <v>0</v>
      </c>
      <c r="N20" s="943">
        <v>0</v>
      </c>
    </row>
    <row r="21" spans="1:14" s="1" customFormat="1" ht="12.75" customHeight="1">
      <c r="A21" s="1307"/>
      <c r="B21" s="796"/>
      <c r="C21" s="181" t="s">
        <v>4</v>
      </c>
      <c r="D21" s="43" t="s">
        <v>100</v>
      </c>
      <c r="E21" s="92"/>
      <c r="F21" s="127">
        <f>G21+H21</f>
        <v>3.138</v>
      </c>
      <c r="G21" s="127">
        <v>3.138</v>
      </c>
      <c r="H21" s="26"/>
      <c r="I21" s="9"/>
      <c r="J21" s="9"/>
      <c r="K21" s="9"/>
      <c r="L21" s="9"/>
      <c r="M21" s="9"/>
      <c r="N21" s="13"/>
    </row>
    <row r="22" spans="1:14" s="1" customFormat="1" ht="12.75" customHeight="1">
      <c r="A22" s="1307"/>
      <c r="B22" s="796"/>
      <c r="C22" s="181"/>
      <c r="D22" s="43" t="s">
        <v>102</v>
      </c>
      <c r="E22" s="92"/>
      <c r="F22" s="127">
        <f>G22+H22</f>
        <v>7.107</v>
      </c>
      <c r="G22" s="127">
        <v>7.107</v>
      </c>
      <c r="H22" s="26"/>
      <c r="I22" s="10"/>
      <c r="J22" s="10"/>
      <c r="K22" s="10"/>
      <c r="L22" s="10"/>
      <c r="M22" s="10"/>
      <c r="N22" s="29"/>
    </row>
    <row r="23" spans="1:14" s="1" customFormat="1" ht="13.5" customHeight="1" thickBot="1">
      <c r="A23" s="1240"/>
      <c r="B23" s="796"/>
      <c r="C23" s="321"/>
      <c r="D23" s="309" t="s">
        <v>27</v>
      </c>
      <c r="E23" s="310"/>
      <c r="F23" s="311">
        <f>G23+H23</f>
        <v>15.085</v>
      </c>
      <c r="G23" s="311">
        <v>15.085</v>
      </c>
      <c r="H23" s="312"/>
      <c r="I23" s="308"/>
      <c r="J23" s="308"/>
      <c r="K23" s="308"/>
      <c r="L23" s="308"/>
      <c r="M23" s="308"/>
      <c r="N23" s="317"/>
    </row>
    <row r="24" spans="1:14" ht="12.75">
      <c r="A24" s="1553"/>
      <c r="B24" s="323"/>
      <c r="C24" s="1549" t="s">
        <v>229</v>
      </c>
      <c r="D24" s="1549"/>
      <c r="E24" s="1549"/>
      <c r="F24" s="1551">
        <f>G24+H24</f>
        <v>205.80800000000002</v>
      </c>
      <c r="G24" s="1551">
        <f aca="true" t="shared" si="0" ref="G24:N24">G7+G12+G14+G19</f>
        <v>205.80800000000002</v>
      </c>
      <c r="H24" s="1551">
        <f t="shared" si="0"/>
        <v>0</v>
      </c>
      <c r="I24" s="800">
        <f t="shared" si="0"/>
        <v>46</v>
      </c>
      <c r="J24" s="800">
        <f t="shared" si="0"/>
        <v>46</v>
      </c>
      <c r="K24" s="800">
        <f t="shared" si="0"/>
        <v>0</v>
      </c>
      <c r="L24" s="347">
        <f t="shared" si="0"/>
        <v>167</v>
      </c>
      <c r="M24" s="347">
        <f t="shared" si="0"/>
        <v>142</v>
      </c>
      <c r="N24" s="347">
        <f t="shared" si="0"/>
        <v>25</v>
      </c>
    </row>
    <row r="25" spans="1:14" ht="13.5" thickBot="1">
      <c r="A25" s="1554"/>
      <c r="B25" s="164"/>
      <c r="C25" s="1550"/>
      <c r="D25" s="1550"/>
      <c r="E25" s="1550"/>
      <c r="F25" s="1552"/>
      <c r="G25" s="1552"/>
      <c r="H25" s="1552"/>
      <c r="I25" s="187">
        <f aca="true" t="shared" si="1" ref="I25:N25">I8+I13+I15+I20</f>
        <v>2734.7</v>
      </c>
      <c r="J25" s="187">
        <f t="shared" si="1"/>
        <v>2734.7</v>
      </c>
      <c r="K25" s="187">
        <f t="shared" si="1"/>
        <v>0</v>
      </c>
      <c r="L25" s="255">
        <f t="shared" si="1"/>
        <v>6644</v>
      </c>
      <c r="M25" s="255">
        <f t="shared" si="1"/>
        <v>5787</v>
      </c>
      <c r="N25" s="255">
        <f t="shared" si="1"/>
        <v>857</v>
      </c>
    </row>
    <row r="26" spans="1:8" ht="12.75">
      <c r="A26" s="151"/>
      <c r="B26" s="153"/>
      <c r="C26" s="1150" t="s">
        <v>454</v>
      </c>
      <c r="D26" s="161" t="s">
        <v>450</v>
      </c>
      <c r="E26" s="162"/>
      <c r="F26" s="163">
        <f>SUMIF($D$7:$D$23,"=I",F7:F23)</f>
        <v>164.13</v>
      </c>
      <c r="G26" s="163">
        <f>SUMIF($D$7:$D$23,"=I",G7:G23)</f>
        <v>164.13</v>
      </c>
      <c r="H26" s="163">
        <f>SUMIF($D$7:$D$18,"=I",H7:H18)</f>
        <v>0</v>
      </c>
    </row>
    <row r="27" spans="1:8" ht="12.75">
      <c r="A27" s="151"/>
      <c r="B27" s="153"/>
      <c r="C27" s="1151"/>
      <c r="D27" s="69" t="s">
        <v>100</v>
      </c>
      <c r="E27" s="63"/>
      <c r="F27" s="64">
        <f>SUMIF($D$7:$D$23,"=II",F7:F23)</f>
        <v>4.835</v>
      </c>
      <c r="G27" s="64">
        <f>SUMIF($D$7:$D$23,"=II",G7:G23)</f>
        <v>4.835</v>
      </c>
      <c r="H27" s="64">
        <f>SUMIF($D$7:$D$18,"=II",H7:H18)</f>
        <v>0</v>
      </c>
    </row>
    <row r="28" spans="1:8" ht="12.75">
      <c r="A28" s="151"/>
      <c r="B28" s="153"/>
      <c r="C28" s="1151"/>
      <c r="D28" s="68" t="s">
        <v>102</v>
      </c>
      <c r="E28" s="63"/>
      <c r="F28" s="64">
        <f>SUMIF($D$7:$D$23,"=III",F7:F23)</f>
        <v>9.278</v>
      </c>
      <c r="G28" s="64">
        <f>SUMIF($D$7:$D$23,"=III",G7:G23)</f>
        <v>9.278</v>
      </c>
      <c r="H28" s="64">
        <f>SUMIF($D$7:$D$18,"=III",H7:H18)</f>
        <v>0</v>
      </c>
    </row>
    <row r="29" spans="1:10" ht="12.75">
      <c r="A29" s="151"/>
      <c r="B29" s="153"/>
      <c r="C29" s="1151"/>
      <c r="D29" s="70" t="s">
        <v>27</v>
      </c>
      <c r="E29" s="67"/>
      <c r="F29" s="64">
        <f>SUMIF($D$7:$D$23,"=IV",F7:F23)</f>
        <v>27.565</v>
      </c>
      <c r="G29" s="64">
        <f>SUMIF($D$7:$D$23,"=IV",G7:G23)</f>
        <v>27.565</v>
      </c>
      <c r="H29" s="64">
        <f>SUMIF($D$7:$D$18,"=IV",H7:H18)</f>
        <v>0</v>
      </c>
      <c r="J29" t="s">
        <v>569</v>
      </c>
    </row>
    <row r="30" spans="1:8" ht="12.75">
      <c r="A30" s="152"/>
      <c r="B30" s="154"/>
      <c r="C30" s="1151"/>
      <c r="D30" s="70" t="s">
        <v>49</v>
      </c>
      <c r="E30" s="64"/>
      <c r="F30" s="64">
        <f>SUMIF($D$7:$D$18,"=V",F7:F18)</f>
        <v>0</v>
      </c>
      <c r="G30" s="64">
        <f>SUMIF($D$7:$D$18,"=V",G7:G18)</f>
        <v>0</v>
      </c>
      <c r="H30" s="64">
        <f>SUMIF($D$7:$D$18,"=V",H7:H18)</f>
        <v>0</v>
      </c>
    </row>
    <row r="32" spans="1:14" ht="12.75" hidden="1">
      <c r="A32" s="165"/>
      <c r="C32" s="165"/>
      <c r="D32" s="165"/>
      <c r="E32" s="165"/>
      <c r="F32" s="165">
        <f>G32+H32</f>
        <v>205.80800000000002</v>
      </c>
      <c r="G32" s="165">
        <f>G24</f>
        <v>205.80800000000002</v>
      </c>
      <c r="H32" s="165"/>
      <c r="I32" s="165"/>
      <c r="J32" s="165"/>
      <c r="K32" s="165"/>
      <c r="L32" s="165"/>
      <c r="M32" s="165"/>
      <c r="N32" s="165"/>
    </row>
    <row r="33" spans="1:14" ht="12.75" hidden="1">
      <c r="A33" s="166"/>
      <c r="B33" s="153"/>
      <c r="C33" s="1548" t="s">
        <v>636</v>
      </c>
      <c r="D33" s="167" t="s">
        <v>450</v>
      </c>
      <c r="E33" s="168"/>
      <c r="F33" s="169">
        <f>G33+H33</f>
        <v>164.13</v>
      </c>
      <c r="G33" s="170">
        <f>G26</f>
        <v>164.13</v>
      </c>
      <c r="H33" s="171"/>
      <c r="I33" s="165">
        <f>I24</f>
        <v>46</v>
      </c>
      <c r="J33" s="165">
        <f>J24</f>
        <v>46</v>
      </c>
      <c r="K33" s="165"/>
      <c r="L33" s="165">
        <f>M33+N33</f>
        <v>167</v>
      </c>
      <c r="M33" s="165">
        <f>M24</f>
        <v>142</v>
      </c>
      <c r="N33" s="165">
        <f>N24</f>
        <v>25</v>
      </c>
    </row>
    <row r="34" spans="1:14" ht="12.75" hidden="1">
      <c r="A34" s="166"/>
      <c r="B34" s="153"/>
      <c r="C34" s="1548"/>
      <c r="D34" s="172" t="s">
        <v>100</v>
      </c>
      <c r="E34" s="168"/>
      <c r="F34" s="169">
        <f>G34+H34</f>
        <v>4.835</v>
      </c>
      <c r="G34" s="170">
        <f>G27</f>
        <v>4.835</v>
      </c>
      <c r="H34" s="171"/>
      <c r="I34" s="165">
        <f>I25</f>
        <v>2734.7</v>
      </c>
      <c r="J34" s="165">
        <f>J25</f>
        <v>2734.7</v>
      </c>
      <c r="K34" s="165"/>
      <c r="L34" s="165">
        <f>M34+N34</f>
        <v>6644</v>
      </c>
      <c r="M34" s="165">
        <f>M25</f>
        <v>5787</v>
      </c>
      <c r="N34" s="165">
        <f>N25</f>
        <v>857</v>
      </c>
    </row>
    <row r="35" spans="1:14" ht="12.75" hidden="1">
      <c r="A35" s="166"/>
      <c r="B35" s="153"/>
      <c r="C35" s="1548"/>
      <c r="D35" s="167" t="s">
        <v>102</v>
      </c>
      <c r="E35" s="168"/>
      <c r="F35" s="169">
        <f>G35+H35</f>
        <v>9.278</v>
      </c>
      <c r="G35" s="170">
        <f>G28</f>
        <v>9.278</v>
      </c>
      <c r="H35" s="171"/>
      <c r="I35" s="165"/>
      <c r="J35" s="165"/>
      <c r="K35" s="165"/>
      <c r="L35" s="165"/>
      <c r="M35" s="165"/>
      <c r="N35" s="165"/>
    </row>
    <row r="36" spans="1:14" ht="12.75" hidden="1">
      <c r="A36" s="166"/>
      <c r="B36" s="153"/>
      <c r="C36" s="1548"/>
      <c r="D36" s="173" t="s">
        <v>27</v>
      </c>
      <c r="E36" s="174"/>
      <c r="F36" s="169">
        <f>G36+H36</f>
        <v>27.565</v>
      </c>
      <c r="G36" s="170">
        <f>G29</f>
        <v>27.565</v>
      </c>
      <c r="H36" s="171"/>
      <c r="I36" s="165"/>
      <c r="J36" s="165"/>
      <c r="K36" s="165"/>
      <c r="L36" s="165"/>
      <c r="M36" s="165"/>
      <c r="N36" s="165"/>
    </row>
    <row r="37" spans="1:14" ht="12.75" hidden="1">
      <c r="A37" s="175"/>
      <c r="B37" s="154"/>
      <c r="C37" s="1548"/>
      <c r="D37" s="173" t="s">
        <v>49</v>
      </c>
      <c r="E37" s="171"/>
      <c r="F37" s="170"/>
      <c r="G37" s="170"/>
      <c r="H37" s="171"/>
      <c r="I37" s="165"/>
      <c r="J37" s="165"/>
      <c r="K37" s="165"/>
      <c r="L37" s="165"/>
      <c r="M37" s="165"/>
      <c r="N37" s="165"/>
    </row>
    <row r="38" spans="1:14" ht="12.75" hidden="1">
      <c r="A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</row>
    <row r="39" spans="1:14" ht="12.75" hidden="1">
      <c r="A39" s="165"/>
      <c r="C39" s="165"/>
      <c r="D39" s="165"/>
      <c r="E39" s="165"/>
      <c r="F39" s="165"/>
      <c r="G39" s="176">
        <f>G33+G34+G35+G36</f>
        <v>205.808</v>
      </c>
      <c r="H39" s="165"/>
      <c r="I39" s="165"/>
      <c r="J39" s="165"/>
      <c r="K39" s="165"/>
      <c r="L39" s="165"/>
      <c r="M39" s="165"/>
      <c r="N39" s="165"/>
    </row>
    <row r="41" ht="12.75">
      <c r="F41" s="121"/>
    </row>
    <row r="42" ht="12.75">
      <c r="K42" s="122"/>
    </row>
  </sheetData>
  <sheetProtection/>
  <mergeCells count="53">
    <mergeCell ref="I5:I6"/>
    <mergeCell ref="G5:G6"/>
    <mergeCell ref="G14:G15"/>
    <mergeCell ref="H12:H13"/>
    <mergeCell ref="G12:G13"/>
    <mergeCell ref="I4:K4"/>
    <mergeCell ref="H7:H8"/>
    <mergeCell ref="A1:N1"/>
    <mergeCell ref="A2:N2"/>
    <mergeCell ref="A3:N3"/>
    <mergeCell ref="A4:A6"/>
    <mergeCell ref="G4:H4"/>
    <mergeCell ref="J5:K5"/>
    <mergeCell ref="L5:L6"/>
    <mergeCell ref="M5:N5"/>
    <mergeCell ref="H5:H6"/>
    <mergeCell ref="L4:N4"/>
    <mergeCell ref="D12:D13"/>
    <mergeCell ref="F7:F8"/>
    <mergeCell ref="E7:E8"/>
    <mergeCell ref="D7:D8"/>
    <mergeCell ref="E12:E13"/>
    <mergeCell ref="F12:F13"/>
    <mergeCell ref="H24:H25"/>
    <mergeCell ref="B4:B6"/>
    <mergeCell ref="C4:C6"/>
    <mergeCell ref="C12:C13"/>
    <mergeCell ref="C7:C8"/>
    <mergeCell ref="C14:C15"/>
    <mergeCell ref="D4:D6"/>
    <mergeCell ref="D14:D15"/>
    <mergeCell ref="E4:E6"/>
    <mergeCell ref="F4:F6"/>
    <mergeCell ref="E24:E25"/>
    <mergeCell ref="A24:A25"/>
    <mergeCell ref="C24:C25"/>
    <mergeCell ref="G7:G8"/>
    <mergeCell ref="G24:G25"/>
    <mergeCell ref="E16:E18"/>
    <mergeCell ref="H14:H15"/>
    <mergeCell ref="F14:F15"/>
    <mergeCell ref="E14:E15"/>
    <mergeCell ref="C33:C37"/>
    <mergeCell ref="C26:C30"/>
    <mergeCell ref="D24:D25"/>
    <mergeCell ref="F24:F25"/>
    <mergeCell ref="F19:F20"/>
    <mergeCell ref="G19:G20"/>
    <mergeCell ref="H19:H20"/>
    <mergeCell ref="A12:A23"/>
    <mergeCell ref="C19:C20"/>
    <mergeCell ref="D19:D20"/>
    <mergeCell ref="E19:E20"/>
  </mergeCells>
  <printOptions/>
  <pageMargins left="0.7086614173228347" right="0.3937007874015748" top="0.3937007874015748" bottom="0.3937007874015748" header="0" footer="0"/>
  <pageSetup firstPageNumber="15" useFirstPageNumber="1" fitToHeight="0" fitToWidth="1" horizontalDpi="300" verticalDpi="300" orientation="landscape" paperSize="9" scale="94" r:id="rId1"/>
  <headerFooter alignWithMargins="0">
    <oddFooter>&amp;CСтраница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113"/>
  <sheetViews>
    <sheetView view="pageBreakPreview" zoomScaleSheetLayoutView="100" workbookViewId="0" topLeftCell="A13">
      <selection activeCell="O1" sqref="O1:T16384"/>
    </sheetView>
  </sheetViews>
  <sheetFormatPr defaultColWidth="9.00390625" defaultRowHeight="12.75"/>
  <cols>
    <col min="1" max="1" width="4.25390625" style="0" customWidth="1"/>
    <col min="2" max="2" width="12.75390625" style="53" customWidth="1"/>
    <col min="3" max="3" width="34.25390625" style="0" customWidth="1"/>
    <col min="4" max="4" width="9.25390625" style="0" customWidth="1"/>
    <col min="5" max="5" width="10.75390625" style="0" customWidth="1"/>
    <col min="6" max="6" width="9.375" style="0" customWidth="1"/>
    <col min="7" max="7" width="10.00390625" style="0" bestFit="1" customWidth="1"/>
    <col min="8" max="8" width="8.25390625" style="0" customWidth="1"/>
    <col min="9" max="9" width="6.375" style="0" bestFit="1" customWidth="1"/>
    <col min="10" max="10" width="7.00390625" style="0" customWidth="1"/>
    <col min="11" max="11" width="6.875" style="0" customWidth="1"/>
    <col min="12" max="12" width="7.125" style="0" customWidth="1"/>
    <col min="13" max="13" width="6.75390625" style="0" customWidth="1"/>
    <col min="14" max="14" width="7.75390625" style="0" customWidth="1"/>
  </cols>
  <sheetData>
    <row r="1" spans="1:14" s="19" customFormat="1" ht="30" customHeight="1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43.5" customHeight="1">
      <c r="A2" s="1601" t="s">
        <v>1519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</row>
    <row r="3" ht="10.5" customHeight="1" thickBot="1"/>
    <row r="4" spans="1:14" s="1" customFormat="1" ht="12.75" customHeight="1" thickBot="1">
      <c r="A4" s="1222" t="s">
        <v>9</v>
      </c>
      <c r="B4" s="1203" t="s">
        <v>735</v>
      </c>
      <c r="C4" s="1222" t="s">
        <v>455</v>
      </c>
      <c r="D4" s="1203" t="s">
        <v>231</v>
      </c>
      <c r="E4" s="1203" t="s">
        <v>622</v>
      </c>
      <c r="F4" s="1203" t="s">
        <v>623</v>
      </c>
      <c r="G4" s="1220" t="s">
        <v>4</v>
      </c>
      <c r="H4" s="1221"/>
      <c r="I4" s="1220" t="s">
        <v>458</v>
      </c>
      <c r="J4" s="1453"/>
      <c r="K4" s="1221"/>
      <c r="L4" s="1220" t="s">
        <v>19</v>
      </c>
      <c r="M4" s="1453"/>
      <c r="N4" s="1453"/>
    </row>
    <row r="5" spans="1:14" s="1" customFormat="1" ht="12.75" customHeight="1" thickBot="1">
      <c r="A5" s="1355"/>
      <c r="B5" s="1204"/>
      <c r="C5" s="1355"/>
      <c r="D5" s="1204"/>
      <c r="E5" s="1204"/>
      <c r="F5" s="1204"/>
      <c r="G5" s="1203" t="s">
        <v>456</v>
      </c>
      <c r="H5" s="1203" t="s">
        <v>457</v>
      </c>
      <c r="I5" s="1222" t="s">
        <v>5</v>
      </c>
      <c r="J5" s="1220" t="s">
        <v>4</v>
      </c>
      <c r="K5" s="1221"/>
      <c r="L5" s="1222" t="s">
        <v>5</v>
      </c>
      <c r="M5" s="1220" t="s">
        <v>4</v>
      </c>
      <c r="N5" s="1453"/>
    </row>
    <row r="6" spans="1:14" s="1" customFormat="1" ht="12.75" customHeight="1" thickBot="1">
      <c r="A6" s="1355"/>
      <c r="B6" s="1204"/>
      <c r="C6" s="1355"/>
      <c r="D6" s="1204"/>
      <c r="E6" s="1204"/>
      <c r="F6" s="1204"/>
      <c r="G6" s="1204"/>
      <c r="H6" s="1204"/>
      <c r="I6" s="1355"/>
      <c r="J6" s="95" t="s">
        <v>6</v>
      </c>
      <c r="K6" s="95" t="s">
        <v>7</v>
      </c>
      <c r="L6" s="1355"/>
      <c r="M6" s="95" t="s">
        <v>6</v>
      </c>
      <c r="N6" s="215" t="s">
        <v>7</v>
      </c>
    </row>
    <row r="7" spans="1:14" s="266" customFormat="1" ht="12" customHeight="1">
      <c r="A7" s="1228">
        <v>1</v>
      </c>
      <c r="B7" s="1189" t="s">
        <v>1203</v>
      </c>
      <c r="C7" s="1191" t="s">
        <v>76</v>
      </c>
      <c r="D7" s="1195" t="s">
        <v>102</v>
      </c>
      <c r="E7" s="1193" t="s">
        <v>170</v>
      </c>
      <c r="F7" s="1197">
        <f>G7+H7</f>
        <v>45</v>
      </c>
      <c r="G7" s="1197">
        <v>45</v>
      </c>
      <c r="H7" s="1455">
        <v>0</v>
      </c>
      <c r="I7" s="502">
        <f aca="true" t="shared" si="0" ref="I7:I40">J7+K7</f>
        <v>1</v>
      </c>
      <c r="J7" s="506">
        <v>1</v>
      </c>
      <c r="K7" s="502">
        <v>0</v>
      </c>
      <c r="L7" s="506">
        <f>M7+N7</f>
        <v>39</v>
      </c>
      <c r="M7" s="502">
        <v>39</v>
      </c>
      <c r="N7" s="502">
        <v>0</v>
      </c>
    </row>
    <row r="8" spans="1:14" s="266" customFormat="1" ht="77.25" customHeight="1" thickBot="1">
      <c r="A8" s="1229"/>
      <c r="B8" s="1190"/>
      <c r="C8" s="1192"/>
      <c r="D8" s="1196"/>
      <c r="E8" s="1194"/>
      <c r="F8" s="1198"/>
      <c r="G8" s="1198"/>
      <c r="H8" s="1603"/>
      <c r="I8" s="895">
        <f>J8+K8</f>
        <v>89.1</v>
      </c>
      <c r="J8" s="953">
        <v>89.1</v>
      </c>
      <c r="K8" s="891">
        <v>0</v>
      </c>
      <c r="L8" s="953">
        <f aca="true" t="shared" si="1" ref="L8:L40">M8+N8</f>
        <v>671</v>
      </c>
      <c r="M8" s="891">
        <v>671</v>
      </c>
      <c r="N8" s="891">
        <v>0</v>
      </c>
    </row>
    <row r="9" spans="1:14" s="266" customFormat="1" ht="12" customHeight="1">
      <c r="A9" s="1239">
        <v>2</v>
      </c>
      <c r="B9" s="1241" t="s">
        <v>874</v>
      </c>
      <c r="C9" s="1243" t="s">
        <v>171</v>
      </c>
      <c r="D9" s="1180" t="s">
        <v>511</v>
      </c>
      <c r="E9" s="1173" t="s">
        <v>1390</v>
      </c>
      <c r="F9" s="1184">
        <f>G9+H9</f>
        <v>40.338</v>
      </c>
      <c r="G9" s="1184">
        <f>G11+G12</f>
        <v>31.45</v>
      </c>
      <c r="H9" s="1362">
        <f>H11+H12</f>
        <v>8.888</v>
      </c>
      <c r="I9" s="644">
        <f t="shared" si="0"/>
        <v>2</v>
      </c>
      <c r="J9" s="648">
        <v>2</v>
      </c>
      <c r="K9" s="644">
        <v>0</v>
      </c>
      <c r="L9" s="648">
        <f t="shared" si="1"/>
        <v>31</v>
      </c>
      <c r="M9" s="644">
        <v>31</v>
      </c>
      <c r="N9" s="644">
        <v>0</v>
      </c>
    </row>
    <row r="10" spans="1:14" s="266" customFormat="1" ht="12">
      <c r="A10" s="1307"/>
      <c r="B10" s="1308"/>
      <c r="C10" s="1315"/>
      <c r="D10" s="1600"/>
      <c r="E10" s="1331"/>
      <c r="F10" s="1162"/>
      <c r="G10" s="1162"/>
      <c r="H10" s="1606"/>
      <c r="I10" s="926">
        <f t="shared" si="0"/>
        <v>65.1</v>
      </c>
      <c r="J10" s="715">
        <v>65.1</v>
      </c>
      <c r="K10" s="922">
        <v>0</v>
      </c>
      <c r="L10" s="699">
        <f t="shared" si="1"/>
        <v>493</v>
      </c>
      <c r="M10" s="922">
        <v>493</v>
      </c>
      <c r="N10" s="922">
        <v>0</v>
      </c>
    </row>
    <row r="11" spans="1:14" s="266" customFormat="1" ht="12" customHeight="1">
      <c r="A11" s="1307"/>
      <c r="B11" s="1308"/>
      <c r="C11" s="279" t="s">
        <v>449</v>
      </c>
      <c r="D11" s="680" t="s">
        <v>102</v>
      </c>
      <c r="E11" s="716" t="s">
        <v>1195</v>
      </c>
      <c r="F11" s="682">
        <f>G11+H11</f>
        <v>31.45</v>
      </c>
      <c r="G11" s="682">
        <v>31.45</v>
      </c>
      <c r="H11" s="717"/>
      <c r="I11" s="880"/>
      <c r="J11" s="606"/>
      <c r="K11" s="880"/>
      <c r="L11" s="606"/>
      <c r="M11" s="880"/>
      <c r="N11" s="880"/>
    </row>
    <row r="12" spans="1:14" s="266" customFormat="1" ht="12.75" thickBot="1">
      <c r="A12" s="1240"/>
      <c r="B12" s="1242"/>
      <c r="C12" s="329"/>
      <c r="D12" s="604" t="s">
        <v>27</v>
      </c>
      <c r="E12" s="704" t="s">
        <v>1391</v>
      </c>
      <c r="F12" s="685">
        <f>G12+H12</f>
        <v>8.888</v>
      </c>
      <c r="G12" s="687"/>
      <c r="H12" s="718">
        <v>8.888</v>
      </c>
      <c r="I12" s="883"/>
      <c r="J12" s="611"/>
      <c r="K12" s="883"/>
      <c r="L12" s="611"/>
      <c r="M12" s="883"/>
      <c r="N12" s="883"/>
    </row>
    <row r="13" spans="1:14" s="266" customFormat="1" ht="12">
      <c r="A13" s="1239">
        <v>3</v>
      </c>
      <c r="B13" s="1257" t="s">
        <v>875</v>
      </c>
      <c r="C13" s="1243" t="s">
        <v>172</v>
      </c>
      <c r="D13" s="1169" t="s">
        <v>27</v>
      </c>
      <c r="E13" s="1169" t="s">
        <v>1380</v>
      </c>
      <c r="F13" s="1184">
        <f>G13+H13</f>
        <v>15.423</v>
      </c>
      <c r="G13" s="1178">
        <v>5</v>
      </c>
      <c r="H13" s="1362">
        <v>10.423</v>
      </c>
      <c r="I13" s="882">
        <f t="shared" si="0"/>
        <v>0</v>
      </c>
      <c r="J13" s="719">
        <v>0</v>
      </c>
      <c r="K13" s="882">
        <v>0</v>
      </c>
      <c r="L13" s="719">
        <f t="shared" si="1"/>
        <v>8</v>
      </c>
      <c r="M13" s="882">
        <v>8</v>
      </c>
      <c r="N13" s="882">
        <v>0</v>
      </c>
    </row>
    <row r="14" spans="1:14" s="266" customFormat="1" ht="12.75" thickBot="1">
      <c r="A14" s="1240"/>
      <c r="B14" s="1261"/>
      <c r="C14" s="1244"/>
      <c r="D14" s="1170"/>
      <c r="E14" s="1170"/>
      <c r="F14" s="1185"/>
      <c r="G14" s="1179"/>
      <c r="H14" s="1363"/>
      <c r="I14" s="883">
        <f t="shared" si="0"/>
        <v>0</v>
      </c>
      <c r="J14" s="611">
        <v>0</v>
      </c>
      <c r="K14" s="883">
        <v>0</v>
      </c>
      <c r="L14" s="611">
        <f t="shared" si="1"/>
        <v>130</v>
      </c>
      <c r="M14" s="883">
        <v>130</v>
      </c>
      <c r="N14" s="883">
        <v>0</v>
      </c>
    </row>
    <row r="15" spans="1:14" s="266" customFormat="1" ht="12">
      <c r="A15" s="1239">
        <v>4</v>
      </c>
      <c r="B15" s="1257" t="s">
        <v>876</v>
      </c>
      <c r="C15" s="1243" t="s">
        <v>174</v>
      </c>
      <c r="D15" s="1169" t="s">
        <v>27</v>
      </c>
      <c r="E15" s="1180" t="s">
        <v>1359</v>
      </c>
      <c r="F15" s="1184">
        <f>G15+H15</f>
        <v>24.329</v>
      </c>
      <c r="G15" s="1178">
        <v>0</v>
      </c>
      <c r="H15" s="1362">
        <v>24.329</v>
      </c>
      <c r="I15" s="644">
        <f t="shared" si="0"/>
        <v>0</v>
      </c>
      <c r="J15" s="648">
        <v>0</v>
      </c>
      <c r="K15" s="644">
        <v>0</v>
      </c>
      <c r="L15" s="648">
        <f t="shared" si="1"/>
        <v>14</v>
      </c>
      <c r="M15" s="644">
        <v>14</v>
      </c>
      <c r="N15" s="644">
        <v>0</v>
      </c>
    </row>
    <row r="16" spans="1:14" s="266" customFormat="1" ht="12.75" thickBot="1">
      <c r="A16" s="1240"/>
      <c r="B16" s="1261"/>
      <c r="C16" s="1244"/>
      <c r="D16" s="1170"/>
      <c r="E16" s="1181"/>
      <c r="F16" s="1185"/>
      <c r="G16" s="1179"/>
      <c r="H16" s="1363"/>
      <c r="I16" s="883">
        <f t="shared" si="0"/>
        <v>0</v>
      </c>
      <c r="J16" s="611">
        <v>0</v>
      </c>
      <c r="K16" s="883">
        <v>0</v>
      </c>
      <c r="L16" s="611">
        <f t="shared" si="1"/>
        <v>183</v>
      </c>
      <c r="M16" s="883">
        <v>183</v>
      </c>
      <c r="N16" s="883">
        <v>0</v>
      </c>
    </row>
    <row r="17" spans="1:14" s="266" customFormat="1" ht="12" customHeight="1">
      <c r="A17" s="1239">
        <v>5</v>
      </c>
      <c r="B17" s="1257" t="s">
        <v>877</v>
      </c>
      <c r="C17" s="1243" t="s">
        <v>175</v>
      </c>
      <c r="D17" s="1169" t="s">
        <v>27</v>
      </c>
      <c r="E17" s="1180" t="s">
        <v>1360</v>
      </c>
      <c r="F17" s="1184">
        <f>G17+H17</f>
        <v>7.473</v>
      </c>
      <c r="G17" s="1184">
        <v>7.473</v>
      </c>
      <c r="H17" s="1591">
        <v>0</v>
      </c>
      <c r="I17" s="644">
        <f t="shared" si="0"/>
        <v>0</v>
      </c>
      <c r="J17" s="648">
        <v>0</v>
      </c>
      <c r="K17" s="644">
        <v>0</v>
      </c>
      <c r="L17" s="648">
        <f t="shared" si="1"/>
        <v>5</v>
      </c>
      <c r="M17" s="644">
        <v>5</v>
      </c>
      <c r="N17" s="644">
        <v>0</v>
      </c>
    </row>
    <row r="18" spans="1:14" s="266" customFormat="1" ht="12.75" thickBot="1">
      <c r="A18" s="1240"/>
      <c r="B18" s="1261"/>
      <c r="C18" s="1244"/>
      <c r="D18" s="1170"/>
      <c r="E18" s="1181"/>
      <c r="F18" s="1185"/>
      <c r="G18" s="1185"/>
      <c r="H18" s="1592"/>
      <c r="I18" s="883">
        <f t="shared" si="0"/>
        <v>0</v>
      </c>
      <c r="J18" s="611">
        <v>0</v>
      </c>
      <c r="K18" s="883">
        <v>0</v>
      </c>
      <c r="L18" s="611">
        <f t="shared" si="1"/>
        <v>69</v>
      </c>
      <c r="M18" s="883">
        <v>69</v>
      </c>
      <c r="N18" s="883">
        <v>0</v>
      </c>
    </row>
    <row r="19" spans="1:14" s="266" customFormat="1" ht="12">
      <c r="A19" s="1239">
        <v>6</v>
      </c>
      <c r="B19" s="1257" t="s">
        <v>878</v>
      </c>
      <c r="C19" s="1243" t="s">
        <v>176</v>
      </c>
      <c r="D19" s="1169" t="s">
        <v>27</v>
      </c>
      <c r="E19" s="1169" t="s">
        <v>1361</v>
      </c>
      <c r="F19" s="1184">
        <f>G19+H19</f>
        <v>4.033</v>
      </c>
      <c r="G19" s="1178">
        <v>0</v>
      </c>
      <c r="H19" s="1362">
        <v>4.033</v>
      </c>
      <c r="I19" s="644">
        <f t="shared" si="0"/>
        <v>0</v>
      </c>
      <c r="J19" s="648">
        <v>0</v>
      </c>
      <c r="K19" s="644">
        <v>0</v>
      </c>
      <c r="L19" s="648">
        <f t="shared" si="1"/>
        <v>4</v>
      </c>
      <c r="M19" s="644">
        <v>4</v>
      </c>
      <c r="N19" s="644">
        <v>0</v>
      </c>
    </row>
    <row r="20" spans="1:14" s="266" customFormat="1" ht="12.75" thickBot="1">
      <c r="A20" s="1240"/>
      <c r="B20" s="1261"/>
      <c r="C20" s="1244"/>
      <c r="D20" s="1170"/>
      <c r="E20" s="1170"/>
      <c r="F20" s="1185"/>
      <c r="G20" s="1179"/>
      <c r="H20" s="1363"/>
      <c r="I20" s="883">
        <f t="shared" si="0"/>
        <v>0</v>
      </c>
      <c r="J20" s="611">
        <v>0</v>
      </c>
      <c r="K20" s="883">
        <v>0</v>
      </c>
      <c r="L20" s="611">
        <f t="shared" si="1"/>
        <v>63</v>
      </c>
      <c r="M20" s="883">
        <v>63</v>
      </c>
      <c r="N20" s="883">
        <v>0</v>
      </c>
    </row>
    <row r="21" spans="1:14" s="266" customFormat="1" ht="12" customHeight="1">
      <c r="A21" s="1239">
        <v>7</v>
      </c>
      <c r="B21" s="1257" t="s">
        <v>879</v>
      </c>
      <c r="C21" s="1243" t="s">
        <v>177</v>
      </c>
      <c r="D21" s="1169" t="s">
        <v>27</v>
      </c>
      <c r="E21" s="1169" t="s">
        <v>574</v>
      </c>
      <c r="F21" s="1178">
        <f>G21+H21</f>
        <v>4.89</v>
      </c>
      <c r="G21" s="1178">
        <v>4.89</v>
      </c>
      <c r="H21" s="1591">
        <v>0</v>
      </c>
      <c r="I21" s="644">
        <f t="shared" si="0"/>
        <v>0</v>
      </c>
      <c r="J21" s="648">
        <v>0</v>
      </c>
      <c r="K21" s="644">
        <v>0</v>
      </c>
      <c r="L21" s="648">
        <f t="shared" si="1"/>
        <v>2</v>
      </c>
      <c r="M21" s="644">
        <v>2</v>
      </c>
      <c r="N21" s="644">
        <v>0</v>
      </c>
    </row>
    <row r="22" spans="1:14" s="266" customFormat="1" ht="12.75" thickBot="1">
      <c r="A22" s="1240"/>
      <c r="B22" s="1261"/>
      <c r="C22" s="1244"/>
      <c r="D22" s="1170"/>
      <c r="E22" s="1170"/>
      <c r="F22" s="1179"/>
      <c r="G22" s="1179"/>
      <c r="H22" s="1592"/>
      <c r="I22" s="883">
        <f t="shared" si="0"/>
        <v>0</v>
      </c>
      <c r="J22" s="611">
        <v>0</v>
      </c>
      <c r="K22" s="883">
        <v>0</v>
      </c>
      <c r="L22" s="611">
        <v>24</v>
      </c>
      <c r="M22" s="883">
        <v>24</v>
      </c>
      <c r="N22" s="883">
        <v>0</v>
      </c>
    </row>
    <row r="23" spans="1:14" s="266" customFormat="1" ht="12">
      <c r="A23" s="1239">
        <v>8</v>
      </c>
      <c r="B23" s="1257" t="s">
        <v>880</v>
      </c>
      <c r="C23" s="1243" t="s">
        <v>178</v>
      </c>
      <c r="D23" s="1169" t="s">
        <v>27</v>
      </c>
      <c r="E23" s="1169" t="s">
        <v>1382</v>
      </c>
      <c r="F23" s="1184">
        <f>G23+H23</f>
        <v>8.95</v>
      </c>
      <c r="G23" s="1178">
        <v>0</v>
      </c>
      <c r="H23" s="1362">
        <v>8.95</v>
      </c>
      <c r="I23" s="644">
        <f t="shared" si="0"/>
        <v>2</v>
      </c>
      <c r="J23" s="648">
        <v>2</v>
      </c>
      <c r="K23" s="644">
        <v>0</v>
      </c>
      <c r="L23" s="648">
        <f t="shared" si="1"/>
        <v>2</v>
      </c>
      <c r="M23" s="644">
        <v>2</v>
      </c>
      <c r="N23" s="644">
        <v>0</v>
      </c>
    </row>
    <row r="24" spans="1:14" s="266" customFormat="1" ht="12.75" thickBot="1">
      <c r="A24" s="1240"/>
      <c r="B24" s="1261"/>
      <c r="C24" s="1244"/>
      <c r="D24" s="1170"/>
      <c r="E24" s="1170"/>
      <c r="F24" s="1185"/>
      <c r="G24" s="1179"/>
      <c r="H24" s="1363"/>
      <c r="I24" s="885">
        <f t="shared" si="0"/>
        <v>84.7</v>
      </c>
      <c r="J24" s="651">
        <v>84.7</v>
      </c>
      <c r="K24" s="883">
        <v>0</v>
      </c>
      <c r="L24" s="611">
        <f t="shared" si="1"/>
        <v>26</v>
      </c>
      <c r="M24" s="883">
        <v>26</v>
      </c>
      <c r="N24" s="883">
        <v>0</v>
      </c>
    </row>
    <row r="25" spans="1:14" s="266" customFormat="1" ht="12.75" customHeight="1">
      <c r="A25" s="1239">
        <v>9</v>
      </c>
      <c r="B25" s="1257" t="s">
        <v>881</v>
      </c>
      <c r="C25" s="1309" t="s">
        <v>179</v>
      </c>
      <c r="D25" s="1169" t="s">
        <v>27</v>
      </c>
      <c r="E25" s="1169" t="s">
        <v>1381</v>
      </c>
      <c r="F25" s="1184">
        <f>G25+H25</f>
        <v>8.57</v>
      </c>
      <c r="G25" s="1178">
        <v>0</v>
      </c>
      <c r="H25" s="1362">
        <v>8.57</v>
      </c>
      <c r="I25" s="644">
        <f t="shared" si="0"/>
        <v>0</v>
      </c>
      <c r="J25" s="648">
        <v>0</v>
      </c>
      <c r="K25" s="644">
        <v>0</v>
      </c>
      <c r="L25" s="648">
        <f t="shared" si="1"/>
        <v>8</v>
      </c>
      <c r="M25" s="644">
        <v>8</v>
      </c>
      <c r="N25" s="644">
        <v>0</v>
      </c>
    </row>
    <row r="26" spans="1:14" s="266" customFormat="1" ht="12.75" customHeight="1" thickBot="1">
      <c r="A26" s="1240"/>
      <c r="B26" s="1261"/>
      <c r="C26" s="1310"/>
      <c r="D26" s="1170"/>
      <c r="E26" s="1170"/>
      <c r="F26" s="1185"/>
      <c r="G26" s="1179"/>
      <c r="H26" s="1363"/>
      <c r="I26" s="883">
        <f t="shared" si="0"/>
        <v>0</v>
      </c>
      <c r="J26" s="611">
        <v>0</v>
      </c>
      <c r="K26" s="883">
        <v>0</v>
      </c>
      <c r="L26" s="611">
        <f t="shared" si="1"/>
        <v>130</v>
      </c>
      <c r="M26" s="883">
        <v>130</v>
      </c>
      <c r="N26" s="883">
        <v>0</v>
      </c>
    </row>
    <row r="27" spans="1:14" s="266" customFormat="1" ht="12">
      <c r="A27" s="1239">
        <v>10</v>
      </c>
      <c r="B27" s="1257" t="s">
        <v>882</v>
      </c>
      <c r="C27" s="1243" t="s">
        <v>181</v>
      </c>
      <c r="D27" s="1169" t="s">
        <v>27</v>
      </c>
      <c r="E27" s="1173" t="s">
        <v>1392</v>
      </c>
      <c r="F27" s="1184">
        <f>G27+H27</f>
        <v>8.083</v>
      </c>
      <c r="G27" s="1178">
        <v>0</v>
      </c>
      <c r="H27" s="1362">
        <v>8.083</v>
      </c>
      <c r="I27" s="644">
        <f>J27+K27</f>
        <v>0</v>
      </c>
      <c r="J27" s="648">
        <v>0</v>
      </c>
      <c r="K27" s="644">
        <v>0</v>
      </c>
      <c r="L27" s="648">
        <f>M27+N27</f>
        <v>4</v>
      </c>
      <c r="M27" s="644">
        <v>4</v>
      </c>
      <c r="N27" s="644">
        <v>0</v>
      </c>
    </row>
    <row r="28" spans="1:14" s="266" customFormat="1" ht="12.75" thickBot="1">
      <c r="A28" s="1240"/>
      <c r="B28" s="1261"/>
      <c r="C28" s="1244"/>
      <c r="D28" s="1170"/>
      <c r="E28" s="1174"/>
      <c r="F28" s="1185"/>
      <c r="G28" s="1179"/>
      <c r="H28" s="1363"/>
      <c r="I28" s="883">
        <f>J28+K28</f>
        <v>0</v>
      </c>
      <c r="J28" s="611">
        <v>0</v>
      </c>
      <c r="K28" s="883">
        <v>0</v>
      </c>
      <c r="L28" s="611">
        <f>M28+N28</f>
        <v>52</v>
      </c>
      <c r="M28" s="883">
        <v>52</v>
      </c>
      <c r="N28" s="883">
        <v>0</v>
      </c>
    </row>
    <row r="29" spans="1:14" s="266" customFormat="1" ht="12">
      <c r="A29" s="1239">
        <v>11</v>
      </c>
      <c r="B29" s="1257" t="s">
        <v>883</v>
      </c>
      <c r="C29" s="1243" t="s">
        <v>180</v>
      </c>
      <c r="D29" s="1180" t="s">
        <v>102</v>
      </c>
      <c r="E29" s="1180" t="s">
        <v>579</v>
      </c>
      <c r="F29" s="1178">
        <f>G29+H29</f>
        <v>5.07</v>
      </c>
      <c r="G29" s="1178">
        <v>5.07</v>
      </c>
      <c r="H29" s="1591">
        <v>0</v>
      </c>
      <c r="I29" s="644">
        <f t="shared" si="0"/>
        <v>0</v>
      </c>
      <c r="J29" s="648">
        <v>0</v>
      </c>
      <c r="K29" s="644">
        <v>0</v>
      </c>
      <c r="L29" s="648">
        <f t="shared" si="1"/>
        <v>1</v>
      </c>
      <c r="M29" s="644">
        <v>1</v>
      </c>
      <c r="N29" s="644">
        <v>0</v>
      </c>
    </row>
    <row r="30" spans="1:14" s="266" customFormat="1" ht="12.75" customHeight="1" thickBot="1">
      <c r="A30" s="1240"/>
      <c r="B30" s="1261"/>
      <c r="C30" s="1244"/>
      <c r="D30" s="1181"/>
      <c r="E30" s="1181"/>
      <c r="F30" s="1179"/>
      <c r="G30" s="1179"/>
      <c r="H30" s="1592"/>
      <c r="I30" s="883">
        <f t="shared" si="0"/>
        <v>0</v>
      </c>
      <c r="J30" s="611">
        <v>0</v>
      </c>
      <c r="K30" s="883">
        <v>0</v>
      </c>
      <c r="L30" s="611">
        <f t="shared" si="1"/>
        <v>21</v>
      </c>
      <c r="M30" s="883">
        <v>21</v>
      </c>
      <c r="N30" s="883">
        <v>0</v>
      </c>
    </row>
    <row r="31" spans="1:14" s="266" customFormat="1" ht="12">
      <c r="A31" s="1239">
        <v>12</v>
      </c>
      <c r="B31" s="1257" t="s">
        <v>884</v>
      </c>
      <c r="C31" s="1243" t="s">
        <v>424</v>
      </c>
      <c r="D31" s="1169" t="s">
        <v>27</v>
      </c>
      <c r="E31" s="1169" t="s">
        <v>573</v>
      </c>
      <c r="F31" s="1176">
        <f>G31+H31</f>
        <v>5.214</v>
      </c>
      <c r="G31" s="1178">
        <v>0</v>
      </c>
      <c r="H31" s="1604">
        <v>5.214</v>
      </c>
      <c r="I31" s="644">
        <f t="shared" si="0"/>
        <v>0</v>
      </c>
      <c r="J31" s="648">
        <v>0</v>
      </c>
      <c r="K31" s="644">
        <v>0</v>
      </c>
      <c r="L31" s="648">
        <f>M31+N31</f>
        <v>5</v>
      </c>
      <c r="M31" s="644">
        <v>0</v>
      </c>
      <c r="N31" s="644">
        <v>5</v>
      </c>
    </row>
    <row r="32" spans="1:14" s="266" customFormat="1" ht="12.75" thickBot="1">
      <c r="A32" s="1240"/>
      <c r="B32" s="1261"/>
      <c r="C32" s="1244"/>
      <c r="D32" s="1170"/>
      <c r="E32" s="1170"/>
      <c r="F32" s="1177"/>
      <c r="G32" s="1179"/>
      <c r="H32" s="1605"/>
      <c r="I32" s="883">
        <f t="shared" si="0"/>
        <v>0</v>
      </c>
      <c r="J32" s="611">
        <v>0</v>
      </c>
      <c r="K32" s="883">
        <v>0</v>
      </c>
      <c r="L32" s="611">
        <f>M32+N32</f>
        <v>48</v>
      </c>
      <c r="M32" s="883">
        <v>0</v>
      </c>
      <c r="N32" s="883">
        <v>48</v>
      </c>
    </row>
    <row r="33" spans="1:14" s="266" customFormat="1" ht="12">
      <c r="A33" s="1239">
        <v>13</v>
      </c>
      <c r="B33" s="1257" t="s">
        <v>885</v>
      </c>
      <c r="C33" s="1243" t="s">
        <v>1369</v>
      </c>
      <c r="D33" s="1169" t="s">
        <v>27</v>
      </c>
      <c r="E33" s="1169" t="s">
        <v>1362</v>
      </c>
      <c r="F33" s="1184">
        <f>G33+H33</f>
        <v>7.911</v>
      </c>
      <c r="G33" s="1178">
        <v>0</v>
      </c>
      <c r="H33" s="1362">
        <v>7.911</v>
      </c>
      <c r="I33" s="644">
        <f t="shared" si="0"/>
        <v>0</v>
      </c>
      <c r="J33" s="648">
        <v>0</v>
      </c>
      <c r="K33" s="644">
        <v>0</v>
      </c>
      <c r="L33" s="648">
        <f t="shared" si="1"/>
        <v>7</v>
      </c>
      <c r="M33" s="644">
        <v>7</v>
      </c>
      <c r="N33" s="644">
        <v>0</v>
      </c>
    </row>
    <row r="34" spans="1:14" s="266" customFormat="1" ht="12.75" thickBot="1">
      <c r="A34" s="1240"/>
      <c r="B34" s="1261"/>
      <c r="C34" s="1244"/>
      <c r="D34" s="1170"/>
      <c r="E34" s="1170"/>
      <c r="F34" s="1185"/>
      <c r="G34" s="1179"/>
      <c r="H34" s="1363"/>
      <c r="I34" s="883">
        <f t="shared" si="0"/>
        <v>0</v>
      </c>
      <c r="J34" s="611">
        <v>0</v>
      </c>
      <c r="K34" s="883">
        <v>0</v>
      </c>
      <c r="L34" s="611">
        <f t="shared" si="1"/>
        <v>104</v>
      </c>
      <c r="M34" s="883">
        <v>104</v>
      </c>
      <c r="N34" s="883">
        <v>0</v>
      </c>
    </row>
    <row r="35" spans="1:14" s="266" customFormat="1" ht="12">
      <c r="A35" s="1239">
        <v>14</v>
      </c>
      <c r="B35" s="1257" t="s">
        <v>886</v>
      </c>
      <c r="C35" s="1243" t="s">
        <v>182</v>
      </c>
      <c r="D35" s="1169" t="s">
        <v>27</v>
      </c>
      <c r="E35" s="1173" t="s">
        <v>92</v>
      </c>
      <c r="F35" s="1178">
        <f>G35+H35</f>
        <v>7.3</v>
      </c>
      <c r="G35" s="1178">
        <v>0</v>
      </c>
      <c r="H35" s="1591">
        <v>7.3</v>
      </c>
      <c r="I35" s="644">
        <f t="shared" si="0"/>
        <v>0</v>
      </c>
      <c r="J35" s="648">
        <v>0</v>
      </c>
      <c r="K35" s="644">
        <v>0</v>
      </c>
      <c r="L35" s="648">
        <f t="shared" si="1"/>
        <v>2</v>
      </c>
      <c r="M35" s="644">
        <v>1</v>
      </c>
      <c r="N35" s="644">
        <v>1</v>
      </c>
    </row>
    <row r="36" spans="1:14" s="266" customFormat="1" ht="12.75" thickBot="1">
      <c r="A36" s="1240"/>
      <c r="B36" s="1261"/>
      <c r="C36" s="1244"/>
      <c r="D36" s="1170"/>
      <c r="E36" s="1174"/>
      <c r="F36" s="1179"/>
      <c r="G36" s="1179"/>
      <c r="H36" s="1592"/>
      <c r="I36" s="883">
        <f t="shared" si="0"/>
        <v>0</v>
      </c>
      <c r="J36" s="611">
        <v>0</v>
      </c>
      <c r="K36" s="883">
        <v>0</v>
      </c>
      <c r="L36" s="611">
        <f t="shared" si="1"/>
        <v>19</v>
      </c>
      <c r="M36" s="883">
        <v>9</v>
      </c>
      <c r="N36" s="883">
        <v>10</v>
      </c>
    </row>
    <row r="37" spans="1:14" s="266" customFormat="1" ht="12">
      <c r="A37" s="1239">
        <v>15</v>
      </c>
      <c r="B37" s="1257" t="s">
        <v>887</v>
      </c>
      <c r="C37" s="1243" t="s">
        <v>183</v>
      </c>
      <c r="D37" s="1169" t="s">
        <v>27</v>
      </c>
      <c r="E37" s="1173" t="s">
        <v>1363</v>
      </c>
      <c r="F37" s="1184">
        <f>G37+H37</f>
        <v>0.825</v>
      </c>
      <c r="G37" s="1178">
        <v>0</v>
      </c>
      <c r="H37" s="1362">
        <v>0.825</v>
      </c>
      <c r="I37" s="644">
        <f t="shared" si="0"/>
        <v>0</v>
      </c>
      <c r="J37" s="648">
        <v>0</v>
      </c>
      <c r="K37" s="644">
        <v>0</v>
      </c>
      <c r="L37" s="648">
        <f t="shared" si="1"/>
        <v>1</v>
      </c>
      <c r="M37" s="644">
        <v>1</v>
      </c>
      <c r="N37" s="644">
        <v>0</v>
      </c>
    </row>
    <row r="38" spans="1:14" s="266" customFormat="1" ht="12.75" thickBot="1">
      <c r="A38" s="1240"/>
      <c r="B38" s="1261"/>
      <c r="C38" s="1244"/>
      <c r="D38" s="1170"/>
      <c r="E38" s="1174"/>
      <c r="F38" s="1185"/>
      <c r="G38" s="1179"/>
      <c r="H38" s="1363"/>
      <c r="I38" s="883">
        <f t="shared" si="0"/>
        <v>0</v>
      </c>
      <c r="J38" s="611">
        <v>0</v>
      </c>
      <c r="K38" s="883">
        <v>0</v>
      </c>
      <c r="L38" s="611">
        <f t="shared" si="1"/>
        <v>15</v>
      </c>
      <c r="M38" s="883">
        <v>15</v>
      </c>
      <c r="N38" s="883">
        <v>0</v>
      </c>
    </row>
    <row r="39" spans="1:14" s="266" customFormat="1" ht="12">
      <c r="A39" s="1239">
        <v>16</v>
      </c>
      <c r="B39" s="1257" t="s">
        <v>888</v>
      </c>
      <c r="C39" s="1243" t="s">
        <v>185</v>
      </c>
      <c r="D39" s="1169" t="s">
        <v>27</v>
      </c>
      <c r="E39" s="1180" t="s">
        <v>1393</v>
      </c>
      <c r="F39" s="1178">
        <f>G39+H39</f>
        <v>2.7300000000000004</v>
      </c>
      <c r="G39" s="1178">
        <v>2.2</v>
      </c>
      <c r="H39" s="1591">
        <v>0.53</v>
      </c>
      <c r="I39" s="644">
        <f t="shared" si="0"/>
        <v>1</v>
      </c>
      <c r="J39" s="648">
        <v>1</v>
      </c>
      <c r="K39" s="644">
        <v>0</v>
      </c>
      <c r="L39" s="648">
        <f t="shared" si="1"/>
        <v>3</v>
      </c>
      <c r="M39" s="644">
        <v>1</v>
      </c>
      <c r="N39" s="644">
        <v>2</v>
      </c>
    </row>
    <row r="40" spans="1:14" s="266" customFormat="1" ht="12.75" thickBot="1">
      <c r="A40" s="1240"/>
      <c r="B40" s="1261"/>
      <c r="C40" s="1244"/>
      <c r="D40" s="1170"/>
      <c r="E40" s="1181"/>
      <c r="F40" s="1179"/>
      <c r="G40" s="1179"/>
      <c r="H40" s="1592"/>
      <c r="I40" s="885">
        <f t="shared" si="0"/>
        <v>17.07</v>
      </c>
      <c r="J40" s="651">
        <v>17.07</v>
      </c>
      <c r="K40" s="883">
        <v>0</v>
      </c>
      <c r="L40" s="611">
        <f t="shared" si="1"/>
        <v>33</v>
      </c>
      <c r="M40" s="883">
        <v>11</v>
      </c>
      <c r="N40" s="883">
        <v>22</v>
      </c>
    </row>
    <row r="41" spans="1:14" s="266" customFormat="1" ht="12">
      <c r="A41" s="1239">
        <v>17</v>
      </c>
      <c r="B41" s="1257" t="s">
        <v>889</v>
      </c>
      <c r="C41" s="1243" t="s">
        <v>187</v>
      </c>
      <c r="D41" s="1169" t="s">
        <v>27</v>
      </c>
      <c r="E41" s="1173" t="s">
        <v>1364</v>
      </c>
      <c r="F41" s="1184">
        <f>G41+H41</f>
        <v>5.084</v>
      </c>
      <c r="G41" s="1178">
        <v>0</v>
      </c>
      <c r="H41" s="1362">
        <v>5.084</v>
      </c>
      <c r="I41" s="644">
        <f aca="true" t="shared" si="2" ref="I41:I72">J41+K41</f>
        <v>0</v>
      </c>
      <c r="J41" s="648">
        <v>0</v>
      </c>
      <c r="K41" s="644">
        <v>0</v>
      </c>
      <c r="L41" s="648">
        <f aca="true" t="shared" si="3" ref="L41:L72">M41+N41</f>
        <v>1</v>
      </c>
      <c r="M41" s="644">
        <v>1</v>
      </c>
      <c r="N41" s="644">
        <v>0</v>
      </c>
    </row>
    <row r="42" spans="1:14" s="266" customFormat="1" ht="12.75" thickBot="1">
      <c r="A42" s="1240"/>
      <c r="B42" s="1261"/>
      <c r="C42" s="1244"/>
      <c r="D42" s="1170"/>
      <c r="E42" s="1174"/>
      <c r="F42" s="1185"/>
      <c r="G42" s="1179"/>
      <c r="H42" s="1363"/>
      <c r="I42" s="883">
        <f t="shared" si="2"/>
        <v>0</v>
      </c>
      <c r="J42" s="611">
        <v>0</v>
      </c>
      <c r="K42" s="883">
        <v>0</v>
      </c>
      <c r="L42" s="611">
        <f t="shared" si="3"/>
        <v>19</v>
      </c>
      <c r="M42" s="883">
        <v>19</v>
      </c>
      <c r="N42" s="883">
        <v>0</v>
      </c>
    </row>
    <row r="43" spans="1:14" s="266" customFormat="1" ht="12">
      <c r="A43" s="1239">
        <v>18</v>
      </c>
      <c r="B43" s="1257" t="s">
        <v>890</v>
      </c>
      <c r="C43" s="1243" t="s">
        <v>189</v>
      </c>
      <c r="D43" s="1169" t="s">
        <v>27</v>
      </c>
      <c r="E43" s="1180" t="s">
        <v>1487</v>
      </c>
      <c r="F43" s="1184">
        <f>G43+H43</f>
        <v>4.829</v>
      </c>
      <c r="G43" s="1178">
        <v>0</v>
      </c>
      <c r="H43" s="1362">
        <v>4.829</v>
      </c>
      <c r="I43" s="644">
        <f t="shared" si="2"/>
        <v>0</v>
      </c>
      <c r="J43" s="648">
        <v>0</v>
      </c>
      <c r="K43" s="644">
        <v>0</v>
      </c>
      <c r="L43" s="648">
        <f t="shared" si="3"/>
        <v>2</v>
      </c>
      <c r="M43" s="644">
        <v>1</v>
      </c>
      <c r="N43" s="644">
        <v>1</v>
      </c>
    </row>
    <row r="44" spans="1:14" s="266" customFormat="1" ht="12.75" thickBot="1">
      <c r="A44" s="1240"/>
      <c r="B44" s="1261"/>
      <c r="C44" s="1244"/>
      <c r="D44" s="1170"/>
      <c r="E44" s="1181"/>
      <c r="F44" s="1185"/>
      <c r="G44" s="1179"/>
      <c r="H44" s="1363"/>
      <c r="I44" s="883">
        <f t="shared" si="2"/>
        <v>0</v>
      </c>
      <c r="J44" s="611">
        <v>0</v>
      </c>
      <c r="K44" s="883">
        <v>0</v>
      </c>
      <c r="L44" s="611">
        <f t="shared" si="3"/>
        <v>25</v>
      </c>
      <c r="M44" s="883">
        <v>15</v>
      </c>
      <c r="N44" s="883">
        <v>10</v>
      </c>
    </row>
    <row r="45" spans="1:14" s="266" customFormat="1" ht="13.5" customHeight="1">
      <c r="A45" s="1239">
        <v>19</v>
      </c>
      <c r="B45" s="1257" t="s">
        <v>891</v>
      </c>
      <c r="C45" s="1243" t="s">
        <v>467</v>
      </c>
      <c r="D45" s="1169" t="s">
        <v>27</v>
      </c>
      <c r="E45" s="1173" t="s">
        <v>1365</v>
      </c>
      <c r="F45" s="1184">
        <f>G45+H45</f>
        <v>10.284</v>
      </c>
      <c r="G45" s="1178">
        <v>0</v>
      </c>
      <c r="H45" s="1362">
        <v>10.284</v>
      </c>
      <c r="I45" s="644">
        <f t="shared" si="2"/>
        <v>0</v>
      </c>
      <c r="J45" s="648">
        <v>0</v>
      </c>
      <c r="K45" s="644">
        <v>0</v>
      </c>
      <c r="L45" s="648">
        <f t="shared" si="3"/>
        <v>4</v>
      </c>
      <c r="M45" s="644">
        <v>4</v>
      </c>
      <c r="N45" s="644">
        <v>0</v>
      </c>
    </row>
    <row r="46" spans="1:14" s="266" customFormat="1" ht="12.75" thickBot="1">
      <c r="A46" s="1240"/>
      <c r="B46" s="1261"/>
      <c r="C46" s="1244"/>
      <c r="D46" s="1170"/>
      <c r="E46" s="1174"/>
      <c r="F46" s="1185"/>
      <c r="G46" s="1179"/>
      <c r="H46" s="1363"/>
      <c r="I46" s="883">
        <f t="shared" si="2"/>
        <v>0</v>
      </c>
      <c r="J46" s="611">
        <v>0</v>
      </c>
      <c r="K46" s="883">
        <v>0</v>
      </c>
      <c r="L46" s="611">
        <f t="shared" si="3"/>
        <v>56</v>
      </c>
      <c r="M46" s="883">
        <v>56</v>
      </c>
      <c r="N46" s="883">
        <v>0</v>
      </c>
    </row>
    <row r="47" spans="1:14" s="266" customFormat="1" ht="12">
      <c r="A47" s="1239">
        <v>20</v>
      </c>
      <c r="B47" s="1257" t="s">
        <v>892</v>
      </c>
      <c r="C47" s="1243" t="s">
        <v>468</v>
      </c>
      <c r="D47" s="1169" t="s">
        <v>102</v>
      </c>
      <c r="E47" s="1173" t="s">
        <v>575</v>
      </c>
      <c r="F47" s="1178">
        <f>G47+H47</f>
        <v>16.65</v>
      </c>
      <c r="G47" s="1178">
        <v>16.65</v>
      </c>
      <c r="H47" s="1591">
        <v>0</v>
      </c>
      <c r="I47" s="644">
        <f t="shared" si="2"/>
        <v>1</v>
      </c>
      <c r="J47" s="648">
        <v>1</v>
      </c>
      <c r="K47" s="644">
        <v>0</v>
      </c>
      <c r="L47" s="648">
        <f t="shared" si="3"/>
        <v>9</v>
      </c>
      <c r="M47" s="644">
        <v>7</v>
      </c>
      <c r="N47" s="644">
        <v>2</v>
      </c>
    </row>
    <row r="48" spans="1:14" s="266" customFormat="1" ht="12.75" thickBot="1">
      <c r="A48" s="1240"/>
      <c r="B48" s="1261"/>
      <c r="C48" s="1244"/>
      <c r="D48" s="1170"/>
      <c r="E48" s="1174"/>
      <c r="F48" s="1179"/>
      <c r="G48" s="1179"/>
      <c r="H48" s="1592"/>
      <c r="I48" s="885">
        <f t="shared" si="2"/>
        <v>28.73</v>
      </c>
      <c r="J48" s="611">
        <v>28.73</v>
      </c>
      <c r="K48" s="883">
        <v>0</v>
      </c>
      <c r="L48" s="611">
        <f t="shared" si="3"/>
        <v>141</v>
      </c>
      <c r="M48" s="883">
        <v>109</v>
      </c>
      <c r="N48" s="883">
        <v>32</v>
      </c>
    </row>
    <row r="49" spans="1:14" s="266" customFormat="1" ht="12" customHeight="1">
      <c r="A49" s="1239">
        <v>21</v>
      </c>
      <c r="B49" s="1257" t="s">
        <v>893</v>
      </c>
      <c r="C49" s="1243" t="s">
        <v>191</v>
      </c>
      <c r="D49" s="1169" t="s">
        <v>27</v>
      </c>
      <c r="E49" s="1173" t="s">
        <v>1312</v>
      </c>
      <c r="F49" s="1184">
        <f>G49+H49</f>
        <v>17.057</v>
      </c>
      <c r="G49" s="1184">
        <v>17.057</v>
      </c>
      <c r="H49" s="1591">
        <v>0</v>
      </c>
      <c r="I49" s="644">
        <f t="shared" si="2"/>
        <v>1</v>
      </c>
      <c r="J49" s="648">
        <v>1</v>
      </c>
      <c r="K49" s="644">
        <v>0</v>
      </c>
      <c r="L49" s="648">
        <f t="shared" si="3"/>
        <v>8</v>
      </c>
      <c r="M49" s="644">
        <v>8</v>
      </c>
      <c r="N49" s="644">
        <v>0</v>
      </c>
    </row>
    <row r="50" spans="1:14" s="266" customFormat="1" ht="12.75" thickBot="1">
      <c r="A50" s="1240"/>
      <c r="B50" s="1261"/>
      <c r="C50" s="1244"/>
      <c r="D50" s="1170"/>
      <c r="E50" s="1174"/>
      <c r="F50" s="1185"/>
      <c r="G50" s="1185"/>
      <c r="H50" s="1592"/>
      <c r="I50" s="885">
        <f t="shared" si="2"/>
        <v>49.39</v>
      </c>
      <c r="J50" s="651">
        <v>49.39</v>
      </c>
      <c r="K50" s="883">
        <v>0</v>
      </c>
      <c r="L50" s="611">
        <f t="shared" si="3"/>
        <v>133</v>
      </c>
      <c r="M50" s="883">
        <v>133</v>
      </c>
      <c r="N50" s="883">
        <v>0</v>
      </c>
    </row>
    <row r="51" spans="1:14" s="266" customFormat="1" ht="12">
      <c r="A51" s="1239">
        <v>22</v>
      </c>
      <c r="B51" s="1257" t="s">
        <v>895</v>
      </c>
      <c r="C51" s="1243" t="s">
        <v>193</v>
      </c>
      <c r="D51" s="1169" t="s">
        <v>27</v>
      </c>
      <c r="E51" s="1173" t="s">
        <v>192</v>
      </c>
      <c r="F51" s="1178">
        <f>G51+H51</f>
        <v>17</v>
      </c>
      <c r="G51" s="1178">
        <v>17</v>
      </c>
      <c r="H51" s="1591">
        <v>0</v>
      </c>
      <c r="I51" s="644">
        <f aca="true" t="shared" si="4" ref="I51:I62">J51+K51</f>
        <v>1</v>
      </c>
      <c r="J51" s="648">
        <v>1</v>
      </c>
      <c r="K51" s="644">
        <v>0</v>
      </c>
      <c r="L51" s="648">
        <f aca="true" t="shared" si="5" ref="L51:L62">M51+N51</f>
        <v>10</v>
      </c>
      <c r="M51" s="644">
        <v>10</v>
      </c>
      <c r="N51" s="644">
        <v>0</v>
      </c>
    </row>
    <row r="52" spans="1:14" s="266" customFormat="1" ht="12.75" thickBot="1">
      <c r="A52" s="1240"/>
      <c r="B52" s="1261"/>
      <c r="C52" s="1244"/>
      <c r="D52" s="1170"/>
      <c r="E52" s="1174"/>
      <c r="F52" s="1179"/>
      <c r="G52" s="1179"/>
      <c r="H52" s="1592"/>
      <c r="I52" s="885">
        <f t="shared" si="4"/>
        <v>16</v>
      </c>
      <c r="J52" s="651">
        <v>16</v>
      </c>
      <c r="K52" s="883">
        <v>0</v>
      </c>
      <c r="L52" s="611">
        <f t="shared" si="5"/>
        <v>262</v>
      </c>
      <c r="M52" s="883">
        <v>262</v>
      </c>
      <c r="N52" s="883">
        <v>0</v>
      </c>
    </row>
    <row r="53" spans="1:14" s="266" customFormat="1" ht="12">
      <c r="A53" s="1239">
        <v>23</v>
      </c>
      <c r="B53" s="1257" t="s">
        <v>896</v>
      </c>
      <c r="C53" s="1243" t="s">
        <v>233</v>
      </c>
      <c r="D53" s="1169" t="s">
        <v>27</v>
      </c>
      <c r="E53" s="1173" t="s">
        <v>107</v>
      </c>
      <c r="F53" s="1178">
        <f>G53+H53</f>
        <v>4</v>
      </c>
      <c r="G53" s="1178">
        <v>4</v>
      </c>
      <c r="H53" s="1591">
        <v>0</v>
      </c>
      <c r="I53" s="644">
        <f t="shared" si="4"/>
        <v>0</v>
      </c>
      <c r="J53" s="648">
        <v>0</v>
      </c>
      <c r="K53" s="644">
        <v>0</v>
      </c>
      <c r="L53" s="648">
        <f t="shared" si="5"/>
        <v>2</v>
      </c>
      <c r="M53" s="644">
        <v>1</v>
      </c>
      <c r="N53" s="644">
        <v>1</v>
      </c>
    </row>
    <row r="54" spans="1:14" s="266" customFormat="1" ht="12.75" thickBot="1">
      <c r="A54" s="1240"/>
      <c r="B54" s="1261"/>
      <c r="C54" s="1244"/>
      <c r="D54" s="1170"/>
      <c r="E54" s="1174"/>
      <c r="F54" s="1179"/>
      <c r="G54" s="1179"/>
      <c r="H54" s="1592"/>
      <c r="I54" s="883">
        <f t="shared" si="4"/>
        <v>0</v>
      </c>
      <c r="J54" s="611">
        <v>0</v>
      </c>
      <c r="K54" s="883">
        <v>0</v>
      </c>
      <c r="L54" s="611">
        <f t="shared" si="5"/>
        <v>21</v>
      </c>
      <c r="M54" s="883">
        <v>10</v>
      </c>
      <c r="N54" s="883">
        <v>11</v>
      </c>
    </row>
    <row r="55" spans="1:14" s="266" customFormat="1" ht="12">
      <c r="A55" s="1239">
        <v>24</v>
      </c>
      <c r="B55" s="1257" t="s">
        <v>897</v>
      </c>
      <c r="C55" s="1243" t="s">
        <v>234</v>
      </c>
      <c r="D55" s="1169" t="s">
        <v>27</v>
      </c>
      <c r="E55" s="1173" t="s">
        <v>186</v>
      </c>
      <c r="F55" s="1178">
        <f>G55+H55</f>
        <v>2.8</v>
      </c>
      <c r="G55" s="1178">
        <v>2.8</v>
      </c>
      <c r="H55" s="1591">
        <v>0</v>
      </c>
      <c r="I55" s="644">
        <f t="shared" si="4"/>
        <v>0</v>
      </c>
      <c r="J55" s="648">
        <v>0</v>
      </c>
      <c r="K55" s="644">
        <v>0</v>
      </c>
      <c r="L55" s="648">
        <f t="shared" si="5"/>
        <v>5</v>
      </c>
      <c r="M55" s="644">
        <v>5</v>
      </c>
      <c r="N55" s="644">
        <v>0</v>
      </c>
    </row>
    <row r="56" spans="1:14" s="266" customFormat="1" ht="12.75" thickBot="1">
      <c r="A56" s="1240"/>
      <c r="B56" s="1261"/>
      <c r="C56" s="1244"/>
      <c r="D56" s="1170"/>
      <c r="E56" s="1174"/>
      <c r="F56" s="1179"/>
      <c r="G56" s="1179"/>
      <c r="H56" s="1592"/>
      <c r="I56" s="883">
        <f t="shared" si="4"/>
        <v>0</v>
      </c>
      <c r="J56" s="611">
        <v>0</v>
      </c>
      <c r="K56" s="883">
        <v>0</v>
      </c>
      <c r="L56" s="611">
        <f t="shared" si="5"/>
        <v>107</v>
      </c>
      <c r="M56" s="883">
        <v>107</v>
      </c>
      <c r="N56" s="883">
        <v>0</v>
      </c>
    </row>
    <row r="57" spans="1:14" s="266" customFormat="1" ht="12">
      <c r="A57" s="1239">
        <v>25</v>
      </c>
      <c r="B57" s="1257" t="s">
        <v>898</v>
      </c>
      <c r="C57" s="1243" t="s">
        <v>235</v>
      </c>
      <c r="D57" s="1169" t="s">
        <v>27</v>
      </c>
      <c r="E57" s="1173" t="s">
        <v>1366</v>
      </c>
      <c r="F57" s="1184">
        <f>G57+H57</f>
        <v>0.702</v>
      </c>
      <c r="G57" s="1178">
        <v>0</v>
      </c>
      <c r="H57" s="1362">
        <v>0.702</v>
      </c>
      <c r="I57" s="644">
        <f t="shared" si="4"/>
        <v>0</v>
      </c>
      <c r="J57" s="648">
        <v>0</v>
      </c>
      <c r="K57" s="644">
        <v>0</v>
      </c>
      <c r="L57" s="648">
        <f t="shared" si="5"/>
        <v>1</v>
      </c>
      <c r="M57" s="644">
        <v>0</v>
      </c>
      <c r="N57" s="644">
        <v>1</v>
      </c>
    </row>
    <row r="58" spans="1:14" s="266" customFormat="1" ht="12.75" thickBot="1">
      <c r="A58" s="1240"/>
      <c r="B58" s="1261"/>
      <c r="C58" s="1244"/>
      <c r="D58" s="1170"/>
      <c r="E58" s="1174"/>
      <c r="F58" s="1185"/>
      <c r="G58" s="1179"/>
      <c r="H58" s="1363"/>
      <c r="I58" s="883">
        <f t="shared" si="4"/>
        <v>0</v>
      </c>
      <c r="J58" s="611">
        <v>0</v>
      </c>
      <c r="K58" s="883">
        <v>0</v>
      </c>
      <c r="L58" s="611">
        <f t="shared" si="5"/>
        <v>10</v>
      </c>
      <c r="M58" s="883">
        <v>0</v>
      </c>
      <c r="N58" s="883">
        <v>10</v>
      </c>
    </row>
    <row r="59" spans="1:14" s="266" customFormat="1" ht="12">
      <c r="A59" s="1239">
        <v>26</v>
      </c>
      <c r="B59" s="1257" t="s">
        <v>899</v>
      </c>
      <c r="C59" s="1243" t="s">
        <v>194</v>
      </c>
      <c r="D59" s="1169" t="s">
        <v>27</v>
      </c>
      <c r="E59" s="1173" t="s">
        <v>128</v>
      </c>
      <c r="F59" s="1178">
        <f>G59+H59</f>
        <v>2.7</v>
      </c>
      <c r="G59" s="1178">
        <v>2.7</v>
      </c>
      <c r="H59" s="1591">
        <v>0</v>
      </c>
      <c r="I59" s="644">
        <f t="shared" si="4"/>
        <v>0</v>
      </c>
      <c r="J59" s="648">
        <v>0</v>
      </c>
      <c r="K59" s="644">
        <v>0</v>
      </c>
      <c r="L59" s="648">
        <f t="shared" si="5"/>
        <v>3</v>
      </c>
      <c r="M59" s="644">
        <v>3</v>
      </c>
      <c r="N59" s="644">
        <v>0</v>
      </c>
    </row>
    <row r="60" spans="1:14" s="266" customFormat="1" ht="12.75" thickBot="1">
      <c r="A60" s="1240"/>
      <c r="B60" s="1261"/>
      <c r="C60" s="1244"/>
      <c r="D60" s="1170"/>
      <c r="E60" s="1174"/>
      <c r="F60" s="1179"/>
      <c r="G60" s="1179"/>
      <c r="H60" s="1592"/>
      <c r="I60" s="883">
        <f t="shared" si="4"/>
        <v>0</v>
      </c>
      <c r="J60" s="611">
        <v>0</v>
      </c>
      <c r="K60" s="883">
        <v>0</v>
      </c>
      <c r="L60" s="611">
        <f t="shared" si="5"/>
        <v>36</v>
      </c>
      <c r="M60" s="883">
        <v>36</v>
      </c>
      <c r="N60" s="883">
        <v>0</v>
      </c>
    </row>
    <row r="61" spans="1:14" s="266" customFormat="1" ht="12">
      <c r="A61" s="1239">
        <v>27</v>
      </c>
      <c r="B61" s="1257" t="s">
        <v>900</v>
      </c>
      <c r="C61" s="1243" t="s">
        <v>195</v>
      </c>
      <c r="D61" s="1169" t="s">
        <v>27</v>
      </c>
      <c r="E61" s="1173" t="s">
        <v>196</v>
      </c>
      <c r="F61" s="1178">
        <f>G61+H61</f>
        <v>7.7</v>
      </c>
      <c r="G61" s="1178">
        <v>0</v>
      </c>
      <c r="H61" s="1591">
        <v>7.7</v>
      </c>
      <c r="I61" s="644">
        <f t="shared" si="4"/>
        <v>0</v>
      </c>
      <c r="J61" s="648">
        <v>0</v>
      </c>
      <c r="K61" s="644">
        <v>0</v>
      </c>
      <c r="L61" s="648">
        <f t="shared" si="5"/>
        <v>8</v>
      </c>
      <c r="M61" s="644">
        <v>6</v>
      </c>
      <c r="N61" s="644">
        <v>2</v>
      </c>
    </row>
    <row r="62" spans="1:14" s="266" customFormat="1" ht="12.75" thickBot="1">
      <c r="A62" s="1240"/>
      <c r="B62" s="1261"/>
      <c r="C62" s="1244"/>
      <c r="D62" s="1170"/>
      <c r="E62" s="1174"/>
      <c r="F62" s="1179"/>
      <c r="G62" s="1179"/>
      <c r="H62" s="1592"/>
      <c r="I62" s="883">
        <f t="shared" si="4"/>
        <v>0</v>
      </c>
      <c r="J62" s="611">
        <v>0</v>
      </c>
      <c r="K62" s="883">
        <v>0</v>
      </c>
      <c r="L62" s="611">
        <f t="shared" si="5"/>
        <v>111</v>
      </c>
      <c r="M62" s="883">
        <v>79</v>
      </c>
      <c r="N62" s="883">
        <v>32</v>
      </c>
    </row>
    <row r="63" spans="1:14" s="266" customFormat="1" ht="12" customHeight="1">
      <c r="A63" s="1239">
        <v>28</v>
      </c>
      <c r="B63" s="1257" t="s">
        <v>904</v>
      </c>
      <c r="C63" s="1243" t="s">
        <v>469</v>
      </c>
      <c r="D63" s="1169" t="s">
        <v>27</v>
      </c>
      <c r="E63" s="1173" t="s">
        <v>22</v>
      </c>
      <c r="F63" s="1178">
        <f>G63+H63</f>
        <v>12</v>
      </c>
      <c r="G63" s="1178">
        <v>0</v>
      </c>
      <c r="H63" s="1591">
        <v>12</v>
      </c>
      <c r="I63" s="644">
        <f t="shared" si="2"/>
        <v>0</v>
      </c>
      <c r="J63" s="648">
        <v>0</v>
      </c>
      <c r="K63" s="644">
        <v>0</v>
      </c>
      <c r="L63" s="648">
        <f t="shared" si="3"/>
        <v>7</v>
      </c>
      <c r="M63" s="644">
        <v>5</v>
      </c>
      <c r="N63" s="644">
        <v>2</v>
      </c>
    </row>
    <row r="64" spans="1:14" s="266" customFormat="1" ht="12.75" thickBot="1">
      <c r="A64" s="1240"/>
      <c r="B64" s="1261"/>
      <c r="C64" s="1244"/>
      <c r="D64" s="1170"/>
      <c r="E64" s="1174"/>
      <c r="F64" s="1179"/>
      <c r="G64" s="1179"/>
      <c r="H64" s="1592"/>
      <c r="I64" s="883">
        <f t="shared" si="2"/>
        <v>0</v>
      </c>
      <c r="J64" s="611">
        <v>0</v>
      </c>
      <c r="K64" s="883">
        <v>0</v>
      </c>
      <c r="L64" s="611">
        <f t="shared" si="3"/>
        <v>77</v>
      </c>
      <c r="M64" s="883">
        <v>56</v>
      </c>
      <c r="N64" s="883">
        <v>21</v>
      </c>
    </row>
    <row r="65" spans="1:14" s="266" customFormat="1" ht="12">
      <c r="A65" s="1239">
        <v>29</v>
      </c>
      <c r="B65" s="1257" t="s">
        <v>903</v>
      </c>
      <c r="C65" s="1243" t="s">
        <v>197</v>
      </c>
      <c r="D65" s="1169" t="s">
        <v>27</v>
      </c>
      <c r="E65" s="1173" t="s">
        <v>1367</v>
      </c>
      <c r="F65" s="1184">
        <f>G65+H65</f>
        <v>0.436</v>
      </c>
      <c r="G65" s="1184">
        <v>0.436</v>
      </c>
      <c r="H65" s="1591">
        <v>0</v>
      </c>
      <c r="I65" s="644">
        <f t="shared" si="2"/>
        <v>0</v>
      </c>
      <c r="J65" s="648">
        <v>0</v>
      </c>
      <c r="K65" s="644">
        <v>0</v>
      </c>
      <c r="L65" s="648">
        <f t="shared" si="3"/>
        <v>1</v>
      </c>
      <c r="M65" s="644">
        <v>1</v>
      </c>
      <c r="N65" s="644">
        <v>0</v>
      </c>
    </row>
    <row r="66" spans="1:14" s="266" customFormat="1" ht="12.75" thickBot="1">
      <c r="A66" s="1240"/>
      <c r="B66" s="1261"/>
      <c r="C66" s="1244"/>
      <c r="D66" s="1170"/>
      <c r="E66" s="1174"/>
      <c r="F66" s="1185"/>
      <c r="G66" s="1185"/>
      <c r="H66" s="1592"/>
      <c r="I66" s="883">
        <f t="shared" si="2"/>
        <v>0</v>
      </c>
      <c r="J66" s="611">
        <v>0</v>
      </c>
      <c r="K66" s="883">
        <v>0</v>
      </c>
      <c r="L66" s="611">
        <f t="shared" si="3"/>
        <v>12</v>
      </c>
      <c r="M66" s="883">
        <v>12</v>
      </c>
      <c r="N66" s="883">
        <v>0</v>
      </c>
    </row>
    <row r="67" spans="1:14" s="1" customFormat="1" ht="12.75" hidden="1" thickBot="1">
      <c r="A67" s="1571"/>
      <c r="B67" s="1573"/>
      <c r="C67" s="1575"/>
      <c r="D67" s="1577"/>
      <c r="E67" s="1577"/>
      <c r="F67" s="1581"/>
      <c r="G67" s="1588"/>
      <c r="H67" s="1590"/>
      <c r="I67" s="83"/>
      <c r="J67" s="84"/>
      <c r="K67" s="85"/>
      <c r="L67" s="83"/>
      <c r="M67" s="84"/>
      <c r="N67" s="84"/>
    </row>
    <row r="68" spans="1:14" s="1" customFormat="1" ht="12.75" hidden="1" thickBot="1">
      <c r="A68" s="1572"/>
      <c r="B68" s="1574"/>
      <c r="C68" s="1576"/>
      <c r="D68" s="1578"/>
      <c r="E68" s="1578"/>
      <c r="F68" s="1570"/>
      <c r="G68" s="1589"/>
      <c r="H68" s="1587"/>
      <c r="I68" s="639"/>
      <c r="J68" s="722"/>
      <c r="K68" s="723"/>
      <c r="L68" s="639"/>
      <c r="M68" s="722"/>
      <c r="N68" s="722"/>
    </row>
    <row r="69" spans="1:14" s="1" customFormat="1" ht="12.75" hidden="1" thickBot="1">
      <c r="A69" s="1579"/>
      <c r="B69" s="1598"/>
      <c r="C69" s="1599"/>
      <c r="D69" s="1582"/>
      <c r="E69" s="1582"/>
      <c r="F69" s="1580"/>
      <c r="G69" s="1586"/>
      <c r="H69" s="1586"/>
      <c r="I69" s="80"/>
      <c r="J69" s="81"/>
      <c r="K69" s="793"/>
      <c r="L69" s="80"/>
      <c r="M69" s="81"/>
      <c r="N69" s="80"/>
    </row>
    <row r="70" spans="1:14" s="1" customFormat="1" ht="12.75" hidden="1" thickBot="1">
      <c r="A70" s="1572"/>
      <c r="B70" s="1563"/>
      <c r="C70" s="1576"/>
      <c r="D70" s="1583"/>
      <c r="E70" s="1583"/>
      <c r="F70" s="1570"/>
      <c r="G70" s="1587"/>
      <c r="H70" s="1587"/>
      <c r="I70" s="639"/>
      <c r="J70" s="722"/>
      <c r="K70" s="730"/>
      <c r="L70" s="639"/>
      <c r="M70" s="722"/>
      <c r="N70" s="639"/>
    </row>
    <row r="71" spans="1:14" s="1" customFormat="1" ht="12.75" hidden="1" thickBot="1">
      <c r="A71" s="788">
        <v>26</v>
      </c>
      <c r="B71" s="10" t="s">
        <v>129</v>
      </c>
      <c r="C71" s="23"/>
      <c r="D71" s="725"/>
      <c r="E71" s="727"/>
      <c r="F71" s="640">
        <f>G71+H71</f>
        <v>0</v>
      </c>
      <c r="G71" s="728"/>
      <c r="H71" s="729"/>
      <c r="I71" s="720">
        <f t="shared" si="2"/>
        <v>0</v>
      </c>
      <c r="J71" s="730"/>
      <c r="K71" s="720"/>
      <c r="L71" s="730">
        <f t="shared" si="3"/>
        <v>0</v>
      </c>
      <c r="M71" s="720"/>
      <c r="N71" s="720"/>
    </row>
    <row r="72" spans="1:14" s="1" customFormat="1" ht="12.75" hidden="1" thickBot="1">
      <c r="A72" s="789"/>
      <c r="B72" s="10"/>
      <c r="C72" s="23"/>
      <c r="D72" s="731"/>
      <c r="E72" s="727"/>
      <c r="F72" s="639"/>
      <c r="G72" s="728"/>
      <c r="H72" s="729"/>
      <c r="I72" s="720">
        <f t="shared" si="2"/>
        <v>0</v>
      </c>
      <c r="J72" s="730"/>
      <c r="K72" s="720"/>
      <c r="L72" s="730">
        <f t="shared" si="3"/>
        <v>0</v>
      </c>
      <c r="M72" s="720"/>
      <c r="N72" s="720"/>
    </row>
    <row r="73" spans="1:14" s="1" customFormat="1" ht="12.75" hidden="1" thickBot="1">
      <c r="A73" s="788">
        <v>33</v>
      </c>
      <c r="B73" s="9" t="s">
        <v>132</v>
      </c>
      <c r="C73" s="21"/>
      <c r="D73" s="725"/>
      <c r="E73" s="732"/>
      <c r="F73" s="640">
        <f>G73+H73</f>
        <v>0</v>
      </c>
      <c r="G73" s="733"/>
      <c r="H73" s="734"/>
      <c r="I73" s="720">
        <f aca="true" t="shared" si="6" ref="I73:I84">J73+K73</f>
        <v>0</v>
      </c>
      <c r="J73" s="730"/>
      <c r="K73" s="720"/>
      <c r="L73" s="730">
        <f aca="true" t="shared" si="7" ref="L73:L84">M73+N73</f>
        <v>0</v>
      </c>
      <c r="M73" s="720"/>
      <c r="N73" s="720"/>
    </row>
    <row r="74" spans="1:14" s="1" customFormat="1" ht="12.75" hidden="1" thickBot="1">
      <c r="A74" s="789"/>
      <c r="B74" s="12"/>
      <c r="C74" s="22"/>
      <c r="D74" s="726"/>
      <c r="E74" s="735"/>
      <c r="F74" s="639"/>
      <c r="G74" s="736"/>
      <c r="H74" s="737"/>
      <c r="I74" s="720">
        <f t="shared" si="6"/>
        <v>0</v>
      </c>
      <c r="J74" s="730"/>
      <c r="K74" s="720"/>
      <c r="L74" s="730">
        <f t="shared" si="7"/>
        <v>0</v>
      </c>
      <c r="M74" s="720"/>
      <c r="N74" s="720"/>
    </row>
    <row r="75" spans="1:14" s="1" customFormat="1" ht="12.75" hidden="1" thickBot="1">
      <c r="A75" s="788">
        <v>34</v>
      </c>
      <c r="B75" s="9" t="s">
        <v>133</v>
      </c>
      <c r="C75" s="21"/>
      <c r="D75" s="725"/>
      <c r="E75" s="732"/>
      <c r="F75" s="640">
        <f>G75+H75</f>
        <v>0</v>
      </c>
      <c r="G75" s="733"/>
      <c r="H75" s="734"/>
      <c r="I75" s="720">
        <f t="shared" si="6"/>
        <v>0</v>
      </c>
      <c r="J75" s="730"/>
      <c r="K75" s="720"/>
      <c r="L75" s="730">
        <f t="shared" si="7"/>
        <v>0</v>
      </c>
      <c r="M75" s="720"/>
      <c r="N75" s="720"/>
    </row>
    <row r="76" spans="1:14" s="1" customFormat="1" ht="12.75" hidden="1" thickBot="1">
      <c r="A76" s="789"/>
      <c r="B76" s="12"/>
      <c r="C76" s="22"/>
      <c r="D76" s="726"/>
      <c r="E76" s="735"/>
      <c r="F76" s="639"/>
      <c r="G76" s="736"/>
      <c r="H76" s="737"/>
      <c r="I76" s="720">
        <f t="shared" si="6"/>
        <v>0</v>
      </c>
      <c r="J76" s="730"/>
      <c r="K76" s="720"/>
      <c r="L76" s="730">
        <f t="shared" si="7"/>
        <v>0</v>
      </c>
      <c r="M76" s="720"/>
      <c r="N76" s="720"/>
    </row>
    <row r="77" spans="1:14" s="1" customFormat="1" ht="12.75" hidden="1" thickBot="1">
      <c r="A77" s="160">
        <v>35</v>
      </c>
      <c r="B77" s="10" t="s">
        <v>135</v>
      </c>
      <c r="C77" s="23"/>
      <c r="D77" s="725"/>
      <c r="E77" s="727"/>
      <c r="F77" s="640">
        <f>G77+H77</f>
        <v>0</v>
      </c>
      <c r="G77" s="728"/>
      <c r="H77" s="729"/>
      <c r="I77" s="720">
        <f t="shared" si="6"/>
        <v>0</v>
      </c>
      <c r="J77" s="730"/>
      <c r="K77" s="720"/>
      <c r="L77" s="730">
        <f t="shared" si="7"/>
        <v>0</v>
      </c>
      <c r="M77" s="720"/>
      <c r="N77" s="720"/>
    </row>
    <row r="78" spans="1:14" s="1" customFormat="1" ht="12.75" hidden="1" thickBot="1">
      <c r="A78" s="160"/>
      <c r="B78" s="10"/>
      <c r="C78" s="23"/>
      <c r="D78" s="731"/>
      <c r="E78" s="727"/>
      <c r="F78" s="639"/>
      <c r="G78" s="728"/>
      <c r="H78" s="729"/>
      <c r="I78" s="720">
        <f t="shared" si="6"/>
        <v>0</v>
      </c>
      <c r="J78" s="730"/>
      <c r="K78" s="720"/>
      <c r="L78" s="730">
        <f t="shared" si="7"/>
        <v>0</v>
      </c>
      <c r="M78" s="720"/>
      <c r="N78" s="720"/>
    </row>
    <row r="79" spans="1:14" s="1" customFormat="1" ht="12.75" hidden="1" thickBot="1">
      <c r="A79" s="788">
        <v>36</v>
      </c>
      <c r="B79" s="9" t="s">
        <v>137</v>
      </c>
      <c r="C79" s="18"/>
      <c r="D79" s="725"/>
      <c r="E79" s="732"/>
      <c r="F79" s="640">
        <f>G79+H79</f>
        <v>0</v>
      </c>
      <c r="G79" s="733"/>
      <c r="H79" s="734"/>
      <c r="I79" s="720">
        <f t="shared" si="6"/>
        <v>0</v>
      </c>
      <c r="J79" s="730"/>
      <c r="K79" s="720"/>
      <c r="L79" s="730">
        <f t="shared" si="7"/>
        <v>0</v>
      </c>
      <c r="M79" s="720"/>
      <c r="N79" s="720"/>
    </row>
    <row r="80" spans="1:14" s="1" customFormat="1" ht="12.75" hidden="1" thickBot="1">
      <c r="A80" s="789"/>
      <c r="B80" s="12"/>
      <c r="C80" s="20"/>
      <c r="D80" s="726"/>
      <c r="E80" s="735"/>
      <c r="F80" s="639"/>
      <c r="G80" s="736"/>
      <c r="H80" s="737"/>
      <c r="I80" s="720">
        <f t="shared" si="6"/>
        <v>0</v>
      </c>
      <c r="J80" s="730"/>
      <c r="K80" s="720"/>
      <c r="L80" s="730">
        <f t="shared" si="7"/>
        <v>0</v>
      </c>
      <c r="M80" s="720"/>
      <c r="N80" s="720"/>
    </row>
    <row r="81" spans="1:14" s="1" customFormat="1" ht="13.5" customHeight="1" hidden="1">
      <c r="A81" s="788">
        <v>37</v>
      </c>
      <c r="B81" s="9" t="s">
        <v>138</v>
      </c>
      <c r="C81" s="21"/>
      <c r="D81" s="725"/>
      <c r="E81" s="732"/>
      <c r="F81" s="640">
        <f>G81+H81</f>
        <v>0</v>
      </c>
      <c r="G81" s="733"/>
      <c r="H81" s="734"/>
      <c r="I81" s="720">
        <f t="shared" si="6"/>
        <v>0</v>
      </c>
      <c r="J81" s="730"/>
      <c r="K81" s="720"/>
      <c r="L81" s="730">
        <f t="shared" si="7"/>
        <v>0</v>
      </c>
      <c r="M81" s="720"/>
      <c r="N81" s="720"/>
    </row>
    <row r="82" spans="1:14" s="1" customFormat="1" ht="13.5" customHeight="1" hidden="1">
      <c r="A82" s="789"/>
      <c r="B82" s="12"/>
      <c r="C82" s="22"/>
      <c r="D82" s="726"/>
      <c r="E82" s="735"/>
      <c r="F82" s="639"/>
      <c r="G82" s="736"/>
      <c r="H82" s="737"/>
      <c r="I82" s="720">
        <f t="shared" si="6"/>
        <v>0</v>
      </c>
      <c r="J82" s="730"/>
      <c r="K82" s="720"/>
      <c r="L82" s="730">
        <f t="shared" si="7"/>
        <v>0</v>
      </c>
      <c r="M82" s="720"/>
      <c r="N82" s="720"/>
    </row>
    <row r="83" spans="1:14" s="1" customFormat="1" ht="13.5" customHeight="1" hidden="1">
      <c r="A83" s="788">
        <v>38</v>
      </c>
      <c r="B83" s="10" t="s">
        <v>140</v>
      </c>
      <c r="C83" s="23"/>
      <c r="D83" s="725"/>
      <c r="E83" s="727"/>
      <c r="F83" s="640">
        <f>G83+H83</f>
        <v>0</v>
      </c>
      <c r="G83" s="728"/>
      <c r="H83" s="729"/>
      <c r="I83" s="720">
        <f t="shared" si="6"/>
        <v>0</v>
      </c>
      <c r="J83" s="730"/>
      <c r="K83" s="720"/>
      <c r="L83" s="730">
        <f t="shared" si="7"/>
        <v>0</v>
      </c>
      <c r="M83" s="720"/>
      <c r="N83" s="720"/>
    </row>
    <row r="84" spans="1:14" s="1" customFormat="1" ht="13.5" customHeight="1" hidden="1">
      <c r="A84" s="160"/>
      <c r="B84" s="10"/>
      <c r="C84" s="23"/>
      <c r="D84" s="731"/>
      <c r="E84" s="727"/>
      <c r="F84" s="720"/>
      <c r="G84" s="728"/>
      <c r="H84" s="729"/>
      <c r="I84" s="720">
        <f t="shared" si="6"/>
        <v>0</v>
      </c>
      <c r="J84" s="730"/>
      <c r="K84" s="720"/>
      <c r="L84" s="730">
        <f t="shared" si="7"/>
        <v>0</v>
      </c>
      <c r="M84" s="720"/>
      <c r="N84" s="720"/>
    </row>
    <row r="85" spans="1:14" s="2" customFormat="1" ht="12">
      <c r="A85" s="1219"/>
      <c r="B85" s="323"/>
      <c r="C85" s="1594" t="s">
        <v>229</v>
      </c>
      <c r="D85" s="1596"/>
      <c r="E85" s="1596"/>
      <c r="F85" s="1551">
        <f>F7+F9+F13+F15+F17+F19+F21+F23+F25+F29+F31+F33+F27+F35+F37+F39+F41+F43+F45+F47+F49+F63+F51+F53+F55+F57+F59+F61+F65+F67+F69</f>
        <v>297.3809999999999</v>
      </c>
      <c r="G85" s="1551">
        <f>G7+G9+G13+G15+G17+G19+G21+G23+G25+G29+G31+G33+G27+G35+G37+G39+G41+G43+G45+G47+G49+G63+G51+G53+G55+G57+G59+G61+G65+G67+G69</f>
        <v>161.726</v>
      </c>
      <c r="H85" s="1584">
        <f>H7+H9+H13+H15+H17+H19+H21+H23+H25+H29+H31+H33+H27+H35+H37+H39+H41+H43+H45+H47+H49+H63+H51+H53+H55+H57+H59+H61+H65+H67+H69</f>
        <v>135.655</v>
      </c>
      <c r="I85" s="353">
        <f aca="true" t="shared" si="8" ref="I85:N86">I7+I9+I13+I15+I17+I19+I21+I23+I25+I29+I31+I33+I27+I35+I37+I39+I41+I43+I45+I47+I49+I63+I51+I53+I55+I57+I59+I61+I65+I67+I69+I71+I73+I75+I77+I79+I81+I83</f>
        <v>9</v>
      </c>
      <c r="J85" s="353">
        <f t="shared" si="8"/>
        <v>9</v>
      </c>
      <c r="K85" s="353">
        <f t="shared" si="8"/>
        <v>0</v>
      </c>
      <c r="L85" s="353">
        <f t="shared" si="8"/>
        <v>197</v>
      </c>
      <c r="M85" s="353">
        <f t="shared" si="8"/>
        <v>180</v>
      </c>
      <c r="N85" s="353">
        <f t="shared" si="8"/>
        <v>17</v>
      </c>
    </row>
    <row r="86" spans="1:14" s="2" customFormat="1" ht="12.75" thickBot="1">
      <c r="A86" s="1593"/>
      <c r="B86" s="164"/>
      <c r="C86" s="1595"/>
      <c r="D86" s="1597"/>
      <c r="E86" s="1597"/>
      <c r="F86" s="1552"/>
      <c r="G86" s="1552"/>
      <c r="H86" s="1585"/>
      <c r="I86" s="354">
        <f t="shared" si="8"/>
        <v>350.09</v>
      </c>
      <c r="J86" s="348">
        <f t="shared" si="8"/>
        <v>350.09</v>
      </c>
      <c r="K86" s="348">
        <f t="shared" si="8"/>
        <v>0</v>
      </c>
      <c r="L86" s="348">
        <f t="shared" si="8"/>
        <v>3091</v>
      </c>
      <c r="M86" s="348">
        <f t="shared" si="8"/>
        <v>2895</v>
      </c>
      <c r="N86" s="348">
        <f t="shared" si="8"/>
        <v>196</v>
      </c>
    </row>
    <row r="87" spans="1:14" ht="12.75">
      <c r="A87" s="151"/>
      <c r="B87" s="153"/>
      <c r="C87" s="1150" t="s">
        <v>454</v>
      </c>
      <c r="D87" s="177" t="s">
        <v>450</v>
      </c>
      <c r="E87" s="178"/>
      <c r="F87" s="180">
        <f>SUMIF($D$7:$D$84,"=I",F7:F84)</f>
        <v>0</v>
      </c>
      <c r="G87" s="180">
        <f>SUMIF($D$7:$D$84,"=I",G7:G84)</f>
        <v>0</v>
      </c>
      <c r="H87" s="180">
        <f>SUMIF($D$7:$D$84,"=I",H7:H84)</f>
        <v>0</v>
      </c>
      <c r="I87" s="408"/>
      <c r="J87" s="408"/>
      <c r="K87" s="408"/>
      <c r="L87" s="408"/>
      <c r="M87" s="408"/>
      <c r="N87" s="408"/>
    </row>
    <row r="88" spans="1:14" ht="12.75">
      <c r="A88" s="151"/>
      <c r="B88" s="153"/>
      <c r="C88" s="1151"/>
      <c r="D88" s="65" t="s">
        <v>100</v>
      </c>
      <c r="E88" s="66"/>
      <c r="F88" s="71">
        <f>SUMIF($D$7:$D$84,"=II",F7:F84)</f>
        <v>0</v>
      </c>
      <c r="G88" s="71">
        <f>SUMIF($D$7:$D$84,"=II",G7:G84)</f>
        <v>0</v>
      </c>
      <c r="H88" s="71">
        <f>SUMIF($D$7:$D$84,"=II",H7:H84)</f>
        <v>0</v>
      </c>
      <c r="I88" s="408"/>
      <c r="J88" s="408"/>
      <c r="K88" s="408"/>
      <c r="L88" s="408"/>
      <c r="M88" s="408"/>
      <c r="N88" s="408"/>
    </row>
    <row r="89" spans="1:14" ht="12.75">
      <c r="A89" s="151"/>
      <c r="B89" s="153"/>
      <c r="C89" s="1151"/>
      <c r="D89" s="62" t="s">
        <v>102</v>
      </c>
      <c r="E89" s="66"/>
      <c r="F89" s="97">
        <f>SUMIF($D$7:$D$84,"=III",F7:F84)</f>
        <v>98.17000000000002</v>
      </c>
      <c r="G89" s="97">
        <f>SUMIF($D$7:$D$84,"=III",G7:G84)</f>
        <v>98.17000000000002</v>
      </c>
      <c r="H89" s="71">
        <f>SUMIF($D$7:$D$84,"=III",H7:H84)</f>
        <v>0</v>
      </c>
      <c r="I89" s="408"/>
      <c r="J89" s="408"/>
      <c r="K89" s="408"/>
      <c r="L89" s="408"/>
      <c r="M89" s="408"/>
      <c r="N89" s="408"/>
    </row>
    <row r="90" spans="1:14" ht="12.75">
      <c r="A90" s="151"/>
      <c r="B90" s="153"/>
      <c r="C90" s="1151"/>
      <c r="D90" s="66" t="s">
        <v>27</v>
      </c>
      <c r="E90" s="72"/>
      <c r="F90" s="97">
        <f>SUMIF($D$7:$D$84,"=IV",F7:F84)</f>
        <v>199.21099999999998</v>
      </c>
      <c r="G90" s="97">
        <f>SUMIF($D$7:$D$84,"=IV",G7:G84)</f>
        <v>63.556</v>
      </c>
      <c r="H90" s="71">
        <f>SUMIF($D$7:$D$84,"=IV",H7:H84)</f>
        <v>135.65500000000003</v>
      </c>
      <c r="I90" s="408"/>
      <c r="J90" s="408"/>
      <c r="K90" s="408"/>
      <c r="L90" s="408"/>
      <c r="M90" s="408"/>
      <c r="N90" s="408"/>
    </row>
    <row r="91" spans="1:8" ht="12.75">
      <c r="A91" s="152"/>
      <c r="B91" s="154"/>
      <c r="C91" s="1151"/>
      <c r="D91" s="66" t="s">
        <v>49</v>
      </c>
      <c r="E91" s="71"/>
      <c r="F91" s="71">
        <f>SUMIF($D$7:$D$84,"=V",F7:F84)</f>
        <v>0</v>
      </c>
      <c r="G91" s="71">
        <f>SUMIF($D$7:$D$84,"=V",G7:G84)</f>
        <v>0</v>
      </c>
      <c r="H91" s="71">
        <f>SUMIF($D$7:$D$84,"=V",H7:H84)</f>
        <v>0</v>
      </c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</sheetData>
  <sheetProtection/>
  <mergeCells count="273">
    <mergeCell ref="H21:H22"/>
    <mergeCell ref="H23:H24"/>
    <mergeCell ref="H19:H20"/>
    <mergeCell ref="H27:H28"/>
    <mergeCell ref="H25:H26"/>
    <mergeCell ref="H33:H34"/>
    <mergeCell ref="E39:E40"/>
    <mergeCell ref="D37:D38"/>
    <mergeCell ref="H35:H36"/>
    <mergeCell ref="G27:G28"/>
    <mergeCell ref="E37:E38"/>
    <mergeCell ref="F27:F28"/>
    <mergeCell ref="F37:F38"/>
    <mergeCell ref="F43:F44"/>
    <mergeCell ref="H37:H38"/>
    <mergeCell ref="H43:H44"/>
    <mergeCell ref="G43:G44"/>
    <mergeCell ref="H39:H40"/>
    <mergeCell ref="F39:F40"/>
    <mergeCell ref="G39:G40"/>
    <mergeCell ref="F41:F42"/>
    <mergeCell ref="G41:G42"/>
    <mergeCell ref="H41:H42"/>
    <mergeCell ref="H5:H6"/>
    <mergeCell ref="H9:H10"/>
    <mergeCell ref="G29:G30"/>
    <mergeCell ref="F33:F34"/>
    <mergeCell ref="F7:F8"/>
    <mergeCell ref="G37:G38"/>
    <mergeCell ref="F15:F16"/>
    <mergeCell ref="G17:G18"/>
    <mergeCell ref="F35:F36"/>
    <mergeCell ref="B27:B28"/>
    <mergeCell ref="H29:H30"/>
    <mergeCell ref="H13:H14"/>
    <mergeCell ref="F29:F30"/>
    <mergeCell ref="G31:G32"/>
    <mergeCell ref="D29:D30"/>
    <mergeCell ref="D25:D26"/>
    <mergeCell ref="E25:E26"/>
    <mergeCell ref="C29:C30"/>
    <mergeCell ref="H31:H32"/>
    <mergeCell ref="E33:E34"/>
    <mergeCell ref="G33:G34"/>
    <mergeCell ref="C31:C32"/>
    <mergeCell ref="D31:D32"/>
    <mergeCell ref="E31:E32"/>
    <mergeCell ref="F31:F32"/>
    <mergeCell ref="G35:G36"/>
    <mergeCell ref="C25:C26"/>
    <mergeCell ref="E29:E30"/>
    <mergeCell ref="A9:A12"/>
    <mergeCell ref="F9:F10"/>
    <mergeCell ref="D15:D16"/>
    <mergeCell ref="G13:G14"/>
    <mergeCell ref="B9:B12"/>
    <mergeCell ref="D13:D14"/>
    <mergeCell ref="C9:C10"/>
    <mergeCell ref="F13:F14"/>
    <mergeCell ref="B15:B16"/>
    <mergeCell ref="J5:K5"/>
    <mergeCell ref="A7:A8"/>
    <mergeCell ref="B7:B8"/>
    <mergeCell ref="D7:D8"/>
    <mergeCell ref="E7:E8"/>
    <mergeCell ref="C7:C8"/>
    <mergeCell ref="G7:G8"/>
    <mergeCell ref="E4:E6"/>
    <mergeCell ref="F4:F6"/>
    <mergeCell ref="D4:D6"/>
    <mergeCell ref="F25:F26"/>
    <mergeCell ref="L5:L6"/>
    <mergeCell ref="I4:K4"/>
    <mergeCell ref="I5:I6"/>
    <mergeCell ref="G9:G10"/>
    <mergeCell ref="H7:H8"/>
    <mergeCell ref="G19:G20"/>
    <mergeCell ref="G15:G16"/>
    <mergeCell ref="H17:H18"/>
    <mergeCell ref="H15:H16"/>
    <mergeCell ref="A1:N1"/>
    <mergeCell ref="A2:N2"/>
    <mergeCell ref="A4:A6"/>
    <mergeCell ref="B4:B6"/>
    <mergeCell ref="L4:N4"/>
    <mergeCell ref="M5:N5"/>
    <mergeCell ref="G4:H4"/>
    <mergeCell ref="C4:C6"/>
    <mergeCell ref="G5:G6"/>
    <mergeCell ref="C21:C22"/>
    <mergeCell ref="D21:D22"/>
    <mergeCell ref="D17:D18"/>
    <mergeCell ref="C19:C20"/>
    <mergeCell ref="D19:D20"/>
    <mergeCell ref="D9:D10"/>
    <mergeCell ref="C15:C16"/>
    <mergeCell ref="F19:F20"/>
    <mergeCell ref="E17:E18"/>
    <mergeCell ref="F17:F18"/>
    <mergeCell ref="A19:A20"/>
    <mergeCell ref="B19:B20"/>
    <mergeCell ref="E19:E20"/>
    <mergeCell ref="E9:E10"/>
    <mergeCell ref="E13:E14"/>
    <mergeCell ref="E15:E16"/>
    <mergeCell ref="A13:A14"/>
    <mergeCell ref="A17:A18"/>
    <mergeCell ref="B17:B18"/>
    <mergeCell ref="C17:C18"/>
    <mergeCell ref="B13:B14"/>
    <mergeCell ref="C13:C14"/>
    <mergeCell ref="A15:A16"/>
    <mergeCell ref="B29:B30"/>
    <mergeCell ref="A33:A34"/>
    <mergeCell ref="A25:A26"/>
    <mergeCell ref="B25:B26"/>
    <mergeCell ref="A29:A30"/>
    <mergeCell ref="A27:A28"/>
    <mergeCell ref="E21:E22"/>
    <mergeCell ref="F21:F22"/>
    <mergeCell ref="G21:G22"/>
    <mergeCell ref="F23:F24"/>
    <mergeCell ref="E23:E24"/>
    <mergeCell ref="B21:B22"/>
    <mergeCell ref="D23:D24"/>
    <mergeCell ref="C23:C24"/>
    <mergeCell ref="G23:G24"/>
    <mergeCell ref="G25:G26"/>
    <mergeCell ref="A23:A24"/>
    <mergeCell ref="B23:B24"/>
    <mergeCell ref="A21:A22"/>
    <mergeCell ref="H45:H46"/>
    <mergeCell ref="E45:E46"/>
    <mergeCell ref="F45:F46"/>
    <mergeCell ref="C45:C46"/>
    <mergeCell ref="D45:D46"/>
    <mergeCell ref="G45:G46"/>
    <mergeCell ref="A41:A42"/>
    <mergeCell ref="B41:B42"/>
    <mergeCell ref="A37:A38"/>
    <mergeCell ref="B37:B38"/>
    <mergeCell ref="B33:B34"/>
    <mergeCell ref="A31:A32"/>
    <mergeCell ref="B31:B32"/>
    <mergeCell ref="A39:A40"/>
    <mergeCell ref="B39:B40"/>
    <mergeCell ref="E41:E42"/>
    <mergeCell ref="D39:D40"/>
    <mergeCell ref="C39:C40"/>
    <mergeCell ref="E43:E44"/>
    <mergeCell ref="C27:C28"/>
    <mergeCell ref="D27:D28"/>
    <mergeCell ref="C35:C36"/>
    <mergeCell ref="C37:C38"/>
    <mergeCell ref="E27:E28"/>
    <mergeCell ref="E35:E36"/>
    <mergeCell ref="A49:A50"/>
    <mergeCell ref="B49:B50"/>
    <mergeCell ref="A47:A48"/>
    <mergeCell ref="B47:B48"/>
    <mergeCell ref="B43:B44"/>
    <mergeCell ref="D33:D34"/>
    <mergeCell ref="C33:C34"/>
    <mergeCell ref="A35:A36"/>
    <mergeCell ref="D35:D36"/>
    <mergeCell ref="B35:B36"/>
    <mergeCell ref="A45:A46"/>
    <mergeCell ref="B45:B46"/>
    <mergeCell ref="A43:A44"/>
    <mergeCell ref="E63:E64"/>
    <mergeCell ref="C43:C44"/>
    <mergeCell ref="D43:D44"/>
    <mergeCell ref="C63:C64"/>
    <mergeCell ref="C51:C52"/>
    <mergeCell ref="D51:D52"/>
    <mergeCell ref="E51:E52"/>
    <mergeCell ref="C41:C42"/>
    <mergeCell ref="D41:D42"/>
    <mergeCell ref="F63:F64"/>
    <mergeCell ref="G63:G64"/>
    <mergeCell ref="H47:H48"/>
    <mergeCell ref="G49:G50"/>
    <mergeCell ref="H63:H64"/>
    <mergeCell ref="H49:H50"/>
    <mergeCell ref="G51:G52"/>
    <mergeCell ref="G55:G56"/>
    <mergeCell ref="H55:H56"/>
    <mergeCell ref="F55:F56"/>
    <mergeCell ref="C49:C50"/>
    <mergeCell ref="D49:D50"/>
    <mergeCell ref="C47:C48"/>
    <mergeCell ref="G47:G48"/>
    <mergeCell ref="E47:E48"/>
    <mergeCell ref="F47:F48"/>
    <mergeCell ref="D47:D48"/>
    <mergeCell ref="E49:E50"/>
    <mergeCell ref="F49:F50"/>
    <mergeCell ref="G53:G54"/>
    <mergeCell ref="H53:H54"/>
    <mergeCell ref="F53:F54"/>
    <mergeCell ref="F51:F52"/>
    <mergeCell ref="H51:H52"/>
    <mergeCell ref="C53:C54"/>
    <mergeCell ref="D53:D54"/>
    <mergeCell ref="E53:E54"/>
    <mergeCell ref="A55:A56"/>
    <mergeCell ref="B55:B56"/>
    <mergeCell ref="C55:C56"/>
    <mergeCell ref="D55:D56"/>
    <mergeCell ref="E55:E56"/>
    <mergeCell ref="A63:A64"/>
    <mergeCell ref="B63:B64"/>
    <mergeCell ref="A53:A54"/>
    <mergeCell ref="B51:B52"/>
    <mergeCell ref="B53:B54"/>
    <mergeCell ref="A51:A52"/>
    <mergeCell ref="D63:D64"/>
    <mergeCell ref="A57:A58"/>
    <mergeCell ref="B57:B58"/>
    <mergeCell ref="C57:C58"/>
    <mergeCell ref="D57:D58"/>
    <mergeCell ref="H57:H58"/>
    <mergeCell ref="F61:F62"/>
    <mergeCell ref="E57:E58"/>
    <mergeCell ref="F57:F58"/>
    <mergeCell ref="G57:G58"/>
    <mergeCell ref="E59:E60"/>
    <mergeCell ref="F59:F60"/>
    <mergeCell ref="H61:H62"/>
    <mergeCell ref="A59:A60"/>
    <mergeCell ref="B59:B60"/>
    <mergeCell ref="C59:C60"/>
    <mergeCell ref="D59:D60"/>
    <mergeCell ref="G59:G60"/>
    <mergeCell ref="H59:H60"/>
    <mergeCell ref="E61:E62"/>
    <mergeCell ref="C61:C62"/>
    <mergeCell ref="D61:D62"/>
    <mergeCell ref="B61:B62"/>
    <mergeCell ref="A61:A62"/>
    <mergeCell ref="G61:G62"/>
    <mergeCell ref="C87:C91"/>
    <mergeCell ref="E85:E86"/>
    <mergeCell ref="F85:F86"/>
    <mergeCell ref="E65:E66"/>
    <mergeCell ref="F65:F66"/>
    <mergeCell ref="E67:E68"/>
    <mergeCell ref="A85:A86"/>
    <mergeCell ref="C85:C86"/>
    <mergeCell ref="D85:D86"/>
    <mergeCell ref="D69:D70"/>
    <mergeCell ref="B69:B70"/>
    <mergeCell ref="C69:C70"/>
    <mergeCell ref="H65:H66"/>
    <mergeCell ref="G65:G66"/>
    <mergeCell ref="B65:B66"/>
    <mergeCell ref="A65:A66"/>
    <mergeCell ref="C65:C66"/>
    <mergeCell ref="D65:D66"/>
    <mergeCell ref="H85:H86"/>
    <mergeCell ref="H69:H70"/>
    <mergeCell ref="G69:G70"/>
    <mergeCell ref="G67:G68"/>
    <mergeCell ref="H67:H68"/>
    <mergeCell ref="G85:G86"/>
    <mergeCell ref="A67:A68"/>
    <mergeCell ref="B67:B68"/>
    <mergeCell ref="C67:C68"/>
    <mergeCell ref="D67:D68"/>
    <mergeCell ref="A69:A70"/>
    <mergeCell ref="F69:F70"/>
    <mergeCell ref="F67:F68"/>
    <mergeCell ref="E69:E70"/>
  </mergeCells>
  <printOptions/>
  <pageMargins left="0.5905511811023623" right="0.35433070866141736" top="0.984251968503937" bottom="0.5511811023622047" header="0.5118110236220472" footer="0"/>
  <pageSetup firstPageNumber="15" useFirstPageNumber="1" fitToHeight="0" fitToWidth="1" horizontalDpi="300" verticalDpi="300" orientation="landscape" paperSize="9" scale="99" r:id="rId1"/>
  <headerFooter alignWithMargins="0">
    <oddFooter>&amp;CСтраница&amp;P</oddFooter>
  </headerFooter>
  <rowBreaks count="1" manualBreakCount="1">
    <brk id="38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162"/>
  <sheetViews>
    <sheetView view="pageBreakPreview" zoomScaleSheetLayoutView="100" zoomScalePageLayoutView="0" workbookViewId="0" topLeftCell="A79">
      <selection activeCell="O1" sqref="O1:Y16384"/>
    </sheetView>
  </sheetViews>
  <sheetFormatPr defaultColWidth="9.00390625" defaultRowHeight="12.75"/>
  <cols>
    <col min="1" max="1" width="4.25390625" style="0" customWidth="1"/>
    <col min="2" max="2" width="12.00390625" style="53" customWidth="1"/>
    <col min="3" max="3" width="33.75390625" style="0" customWidth="1"/>
    <col min="4" max="5" width="9.375" style="0" customWidth="1"/>
    <col min="7" max="7" width="7.875" style="0" customWidth="1"/>
    <col min="8" max="8" width="7.625" style="0" customWidth="1"/>
    <col min="9" max="9" width="9.375" style="0" bestFit="1" customWidth="1"/>
    <col min="10" max="11" width="7.375" style="0" bestFit="1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1228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1" t="s">
        <v>1411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2.75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2.75" thickBot="1">
      <c r="A7" s="1226"/>
      <c r="B7" s="1204"/>
      <c r="C7" s="1214"/>
      <c r="D7" s="1207"/>
      <c r="E7" s="1212"/>
      <c r="F7" s="1204"/>
      <c r="G7" s="1207"/>
      <c r="H7" s="1441"/>
      <c r="I7" s="1355"/>
      <c r="J7" s="21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2" customHeight="1">
      <c r="A8" s="1228">
        <v>1</v>
      </c>
      <c r="B8" s="1199" t="s">
        <v>737</v>
      </c>
      <c r="C8" s="1191" t="s">
        <v>1425</v>
      </c>
      <c r="D8" s="1348" t="s">
        <v>583</v>
      </c>
      <c r="E8" s="1195" t="s">
        <v>1428</v>
      </c>
      <c r="F8" s="894">
        <f>G8+H8</f>
        <v>11.35</v>
      </c>
      <c r="G8" s="1019">
        <f>G10+G11</f>
        <v>11.35</v>
      </c>
      <c r="H8" s="894">
        <v>0</v>
      </c>
      <c r="I8" s="502">
        <f>J8+K8</f>
        <v>5</v>
      </c>
      <c r="J8" s="503">
        <v>5</v>
      </c>
      <c r="K8" s="504"/>
      <c r="L8" s="502">
        <f>M8+N8</f>
        <v>10</v>
      </c>
      <c r="M8" s="506">
        <v>10</v>
      </c>
      <c r="N8" s="502"/>
    </row>
    <row r="9" spans="1:14" s="266" customFormat="1" ht="12.75" customHeight="1">
      <c r="A9" s="1339"/>
      <c r="B9" s="1387"/>
      <c r="C9" s="1340"/>
      <c r="D9" s="1349"/>
      <c r="E9" s="1607"/>
      <c r="F9" s="919"/>
      <c r="G9" s="553"/>
      <c r="H9" s="919">
        <v>0</v>
      </c>
      <c r="I9" s="919">
        <f>J9+K9</f>
        <v>128.69</v>
      </c>
      <c r="J9" s="553">
        <v>128.69</v>
      </c>
      <c r="K9" s="952"/>
      <c r="L9" s="918">
        <f>M9+N9</f>
        <v>183</v>
      </c>
      <c r="M9" s="554">
        <v>183</v>
      </c>
      <c r="N9" s="918"/>
    </row>
    <row r="10" spans="1:14" s="266" customFormat="1" ht="23.25" customHeight="1">
      <c r="A10" s="1339"/>
      <c r="B10" s="1387"/>
      <c r="C10" s="521" t="s">
        <v>449</v>
      </c>
      <c r="D10" s="931" t="s">
        <v>102</v>
      </c>
      <c r="E10" s="1020" t="s">
        <v>1429</v>
      </c>
      <c r="F10" s="936">
        <f>G10+H10</f>
        <v>11.35</v>
      </c>
      <c r="G10" s="1021">
        <v>11.35</v>
      </c>
      <c r="H10" s="936">
        <v>0</v>
      </c>
      <c r="I10" s="927"/>
      <c r="J10" s="525"/>
      <c r="K10" s="923"/>
      <c r="L10" s="927"/>
      <c r="M10" s="512"/>
      <c r="N10" s="927"/>
    </row>
    <row r="11" spans="1:14" s="266" customFormat="1" ht="33.75" customHeight="1" thickBot="1">
      <c r="A11" s="1229"/>
      <c r="B11" s="1200"/>
      <c r="C11" s="892"/>
      <c r="D11" s="555" t="s">
        <v>27</v>
      </c>
      <c r="E11" s="973"/>
      <c r="F11" s="895">
        <f>G11+H11</f>
        <v>0</v>
      </c>
      <c r="G11" s="505"/>
      <c r="H11" s="895">
        <v>0</v>
      </c>
      <c r="I11" s="891"/>
      <c r="J11" s="589"/>
      <c r="K11" s="924"/>
      <c r="L11" s="891"/>
      <c r="M11" s="953"/>
      <c r="N11" s="891"/>
    </row>
    <row r="12" spans="1:14" s="266" customFormat="1" ht="12" customHeight="1">
      <c r="A12" s="1228">
        <v>2</v>
      </c>
      <c r="B12" s="1199" t="s">
        <v>737</v>
      </c>
      <c r="C12" s="1191" t="s">
        <v>1426</v>
      </c>
      <c r="D12" s="1348" t="s">
        <v>583</v>
      </c>
      <c r="E12" s="1195" t="s">
        <v>1430</v>
      </c>
      <c r="F12" s="888">
        <f>G12+H12</f>
        <v>57.937</v>
      </c>
      <c r="G12" s="1022">
        <f>G14+G15</f>
        <v>57.937</v>
      </c>
      <c r="H12" s="894">
        <v>0</v>
      </c>
      <c r="I12" s="502">
        <f>J12+K12</f>
        <v>18</v>
      </c>
      <c r="J12" s="503">
        <v>15</v>
      </c>
      <c r="K12" s="504">
        <v>3</v>
      </c>
      <c r="L12" s="502">
        <f>M12+N12</f>
        <v>75</v>
      </c>
      <c r="M12" s="506">
        <v>63</v>
      </c>
      <c r="N12" s="502">
        <v>12</v>
      </c>
    </row>
    <row r="13" spans="1:14" s="266" customFormat="1" ht="12.75" customHeight="1">
      <c r="A13" s="1339"/>
      <c r="B13" s="1387"/>
      <c r="C13" s="1340"/>
      <c r="D13" s="1349"/>
      <c r="E13" s="1607"/>
      <c r="F13" s="919"/>
      <c r="G13" s="553"/>
      <c r="H13" s="919">
        <v>0</v>
      </c>
      <c r="I13" s="919">
        <f>J13+K13</f>
        <v>1230.5</v>
      </c>
      <c r="J13" s="553">
        <v>437.21</v>
      </c>
      <c r="K13" s="952">
        <v>793.29</v>
      </c>
      <c r="L13" s="918">
        <f>M13+N13</f>
        <v>1340</v>
      </c>
      <c r="M13" s="554">
        <v>1184</v>
      </c>
      <c r="N13" s="918">
        <v>156</v>
      </c>
    </row>
    <row r="14" spans="1:14" s="266" customFormat="1" ht="23.25" customHeight="1">
      <c r="A14" s="1339"/>
      <c r="B14" s="1387"/>
      <c r="C14" s="521" t="s">
        <v>449</v>
      </c>
      <c r="D14" s="931" t="s">
        <v>102</v>
      </c>
      <c r="E14" s="1020" t="s">
        <v>1431</v>
      </c>
      <c r="F14" s="932">
        <f>G14+H14</f>
        <v>5.65</v>
      </c>
      <c r="G14" s="1023">
        <v>5.65</v>
      </c>
      <c r="H14" s="936">
        <v>0</v>
      </c>
      <c r="I14" s="927"/>
      <c r="J14" s="525"/>
      <c r="K14" s="923"/>
      <c r="L14" s="927"/>
      <c r="M14" s="512"/>
      <c r="N14" s="927"/>
    </row>
    <row r="15" spans="1:14" s="266" customFormat="1" ht="33.75" customHeight="1" thickBot="1">
      <c r="A15" s="1229"/>
      <c r="B15" s="1200"/>
      <c r="C15" s="892"/>
      <c r="D15" s="555" t="s">
        <v>27</v>
      </c>
      <c r="E15" s="973" t="s">
        <v>1432</v>
      </c>
      <c r="F15" s="889">
        <f>G15+H15</f>
        <v>52.287</v>
      </c>
      <c r="G15" s="1024">
        <v>52.287</v>
      </c>
      <c r="H15" s="895">
        <v>0</v>
      </c>
      <c r="I15" s="891"/>
      <c r="J15" s="589"/>
      <c r="K15" s="924"/>
      <c r="L15" s="891"/>
      <c r="M15" s="953"/>
      <c r="N15" s="891"/>
    </row>
    <row r="16" spans="1:14" s="266" customFormat="1" ht="12">
      <c r="A16" s="1167">
        <v>3</v>
      </c>
      <c r="B16" s="1169" t="s">
        <v>905</v>
      </c>
      <c r="C16" s="1232" t="s">
        <v>206</v>
      </c>
      <c r="D16" s="1173" t="s">
        <v>27</v>
      </c>
      <c r="E16" s="1169" t="s">
        <v>107</v>
      </c>
      <c r="F16" s="1178">
        <f>G16+H16</f>
        <v>4</v>
      </c>
      <c r="G16" s="1178">
        <v>4</v>
      </c>
      <c r="H16" s="1178">
        <v>0</v>
      </c>
      <c r="I16" s="644">
        <f aca="true" t="shared" si="0" ref="I16:I25">J16+K16</f>
        <v>0</v>
      </c>
      <c r="J16" s="645">
        <v>0</v>
      </c>
      <c r="K16" s="646">
        <v>0</v>
      </c>
      <c r="L16" s="644">
        <f aca="true" t="shared" si="1" ref="L16:L25">M16+N16</f>
        <v>7</v>
      </c>
      <c r="M16" s="648">
        <v>4</v>
      </c>
      <c r="N16" s="644">
        <v>3</v>
      </c>
    </row>
    <row r="17" spans="1:14" s="266" customFormat="1" ht="12" customHeight="1" thickBot="1">
      <c r="A17" s="1168"/>
      <c r="B17" s="1170"/>
      <c r="C17" s="1233"/>
      <c r="D17" s="1174"/>
      <c r="E17" s="1170"/>
      <c r="F17" s="1179"/>
      <c r="G17" s="1179"/>
      <c r="H17" s="1179"/>
      <c r="I17" s="883">
        <f t="shared" si="0"/>
        <v>0</v>
      </c>
      <c r="J17" s="990">
        <v>0</v>
      </c>
      <c r="K17" s="915">
        <v>0</v>
      </c>
      <c r="L17" s="883">
        <f t="shared" si="1"/>
        <v>92</v>
      </c>
      <c r="M17" s="611">
        <v>64</v>
      </c>
      <c r="N17" s="883">
        <v>28</v>
      </c>
    </row>
    <row r="18" spans="1:14" s="266" customFormat="1" ht="12" customHeight="1">
      <c r="A18" s="1228">
        <v>4</v>
      </c>
      <c r="B18" s="1189" t="s">
        <v>1215</v>
      </c>
      <c r="C18" s="1191" t="s">
        <v>236</v>
      </c>
      <c r="D18" s="1199" t="s">
        <v>102</v>
      </c>
      <c r="E18" s="1390" t="s">
        <v>1402</v>
      </c>
      <c r="F18" s="1197">
        <f>G18+H18</f>
        <v>84.9</v>
      </c>
      <c r="G18" s="1197">
        <v>84.9</v>
      </c>
      <c r="H18" s="1197">
        <v>0</v>
      </c>
      <c r="I18" s="502">
        <f t="shared" si="0"/>
        <v>6</v>
      </c>
      <c r="J18" s="503">
        <v>6</v>
      </c>
      <c r="K18" s="506">
        <v>0</v>
      </c>
      <c r="L18" s="502">
        <f t="shared" si="1"/>
        <v>47</v>
      </c>
      <c r="M18" s="506">
        <v>46</v>
      </c>
      <c r="N18" s="502">
        <v>1</v>
      </c>
    </row>
    <row r="19" spans="1:14" s="266" customFormat="1" ht="72.75" customHeight="1" thickBot="1">
      <c r="A19" s="1229"/>
      <c r="B19" s="1190"/>
      <c r="C19" s="1192"/>
      <c r="D19" s="1200"/>
      <c r="E19" s="1391"/>
      <c r="F19" s="1198"/>
      <c r="G19" s="1198"/>
      <c r="H19" s="1198"/>
      <c r="I19" s="891">
        <f t="shared" si="0"/>
        <v>239.21</v>
      </c>
      <c r="J19" s="589">
        <v>239.21</v>
      </c>
      <c r="K19" s="953">
        <v>0</v>
      </c>
      <c r="L19" s="891">
        <f t="shared" si="1"/>
        <v>1058</v>
      </c>
      <c r="M19" s="953">
        <v>1044</v>
      </c>
      <c r="N19" s="891">
        <v>14</v>
      </c>
    </row>
    <row r="20" spans="1:14" s="266" customFormat="1" ht="12">
      <c r="A20" s="1228">
        <v>5</v>
      </c>
      <c r="B20" s="1189" t="s">
        <v>906</v>
      </c>
      <c r="C20" s="1191" t="s">
        <v>198</v>
      </c>
      <c r="D20" s="1199" t="s">
        <v>102</v>
      </c>
      <c r="E20" s="1199" t="s">
        <v>199</v>
      </c>
      <c r="F20" s="1197">
        <f>G20+H20</f>
        <v>15</v>
      </c>
      <c r="G20" s="1197">
        <v>15</v>
      </c>
      <c r="H20" s="1455">
        <v>0</v>
      </c>
      <c r="I20" s="502">
        <f t="shared" si="0"/>
        <v>1</v>
      </c>
      <c r="J20" s="506">
        <v>1</v>
      </c>
      <c r="K20" s="504">
        <v>0</v>
      </c>
      <c r="L20" s="502">
        <f t="shared" si="1"/>
        <v>4</v>
      </c>
      <c r="M20" s="506">
        <v>4</v>
      </c>
      <c r="N20" s="502">
        <v>0</v>
      </c>
    </row>
    <row r="21" spans="1:14" s="266" customFormat="1" ht="12.75" thickBot="1">
      <c r="A21" s="1229"/>
      <c r="B21" s="1190"/>
      <c r="C21" s="1192"/>
      <c r="D21" s="1200"/>
      <c r="E21" s="1200"/>
      <c r="F21" s="1198"/>
      <c r="G21" s="1198"/>
      <c r="H21" s="1603"/>
      <c r="I21" s="895">
        <f t="shared" si="0"/>
        <v>27.8</v>
      </c>
      <c r="J21" s="556">
        <v>27.8</v>
      </c>
      <c r="K21" s="924">
        <v>0</v>
      </c>
      <c r="L21" s="891">
        <f t="shared" si="1"/>
        <v>61</v>
      </c>
      <c r="M21" s="953">
        <v>61</v>
      </c>
      <c r="N21" s="891">
        <v>0</v>
      </c>
    </row>
    <row r="22" spans="1:14" s="266" customFormat="1" ht="12">
      <c r="A22" s="1228">
        <v>6</v>
      </c>
      <c r="B22" s="1199" t="s">
        <v>907</v>
      </c>
      <c r="C22" s="1191" t="s">
        <v>426</v>
      </c>
      <c r="D22" s="1199" t="s">
        <v>100</v>
      </c>
      <c r="E22" s="1199" t="s">
        <v>200</v>
      </c>
      <c r="F22" s="1193">
        <f>G22+H22</f>
        <v>49.6</v>
      </c>
      <c r="G22" s="1193">
        <v>49.6</v>
      </c>
      <c r="H22" s="1197">
        <v>0</v>
      </c>
      <c r="I22" s="502">
        <f t="shared" si="0"/>
        <v>8</v>
      </c>
      <c r="J22" s="503">
        <v>8</v>
      </c>
      <c r="K22" s="502">
        <v>0</v>
      </c>
      <c r="L22" s="502">
        <f t="shared" si="1"/>
        <v>47</v>
      </c>
      <c r="M22" s="506">
        <v>45</v>
      </c>
      <c r="N22" s="502">
        <v>2</v>
      </c>
    </row>
    <row r="23" spans="1:14" s="266" customFormat="1" ht="26.25" customHeight="1">
      <c r="A23" s="1339"/>
      <c r="B23" s="1338"/>
      <c r="C23" s="1340"/>
      <c r="D23" s="1338"/>
      <c r="E23" s="1338"/>
      <c r="F23" s="1347"/>
      <c r="G23" s="1347"/>
      <c r="H23" s="1345"/>
      <c r="I23" s="927">
        <f t="shared" si="0"/>
        <v>798.05</v>
      </c>
      <c r="J23" s="525">
        <v>798.05</v>
      </c>
      <c r="K23" s="918">
        <v>0</v>
      </c>
      <c r="L23" s="918">
        <f t="shared" si="1"/>
        <v>1598</v>
      </c>
      <c r="M23" s="512">
        <v>1580</v>
      </c>
      <c r="N23" s="918">
        <v>18</v>
      </c>
    </row>
    <row r="24" spans="1:14" s="266" customFormat="1" ht="12">
      <c r="A24" s="1339"/>
      <c r="B24" s="1612"/>
      <c r="C24" s="1378" t="s">
        <v>425</v>
      </c>
      <c r="D24" s="1375" t="s">
        <v>620</v>
      </c>
      <c r="E24" s="1384"/>
      <c r="F24" s="1608">
        <f>G24+H24</f>
        <v>4</v>
      </c>
      <c r="G24" s="1608">
        <v>4</v>
      </c>
      <c r="H24" s="1613">
        <v>0</v>
      </c>
      <c r="I24" s="509">
        <f t="shared" si="0"/>
        <v>4</v>
      </c>
      <c r="J24" s="509">
        <v>4</v>
      </c>
      <c r="K24" s="510">
        <v>0</v>
      </c>
      <c r="L24" s="557">
        <f t="shared" si="1"/>
        <v>8</v>
      </c>
      <c r="M24" s="511">
        <v>8</v>
      </c>
      <c r="N24" s="547">
        <v>0</v>
      </c>
    </row>
    <row r="25" spans="1:14" s="266" customFormat="1" ht="25.5" customHeight="1">
      <c r="A25" s="1339"/>
      <c r="B25" s="1437"/>
      <c r="C25" s="1340"/>
      <c r="D25" s="1349"/>
      <c r="E25" s="1338"/>
      <c r="F25" s="1347"/>
      <c r="G25" s="1347"/>
      <c r="H25" s="1456"/>
      <c r="I25" s="918">
        <f t="shared" si="0"/>
        <v>218.96</v>
      </c>
      <c r="J25" s="918">
        <v>218.96</v>
      </c>
      <c r="K25" s="512">
        <v>0</v>
      </c>
      <c r="L25" s="923">
        <f t="shared" si="1"/>
        <v>155</v>
      </c>
      <c r="M25" s="930">
        <v>155</v>
      </c>
      <c r="N25" s="927">
        <v>0</v>
      </c>
    </row>
    <row r="26" spans="1:14" s="266" customFormat="1" ht="12">
      <c r="A26" s="1339"/>
      <c r="B26" s="1437"/>
      <c r="C26" s="917" t="s">
        <v>449</v>
      </c>
      <c r="D26" s="544" t="s">
        <v>100</v>
      </c>
      <c r="E26" s="934"/>
      <c r="F26" s="933">
        <f>G26+H26</f>
        <v>0.75</v>
      </c>
      <c r="G26" s="933">
        <v>0.75</v>
      </c>
      <c r="H26" s="935"/>
      <c r="I26" s="928"/>
      <c r="J26" s="928"/>
      <c r="K26" s="928"/>
      <c r="L26" s="928"/>
      <c r="M26" s="929"/>
      <c r="N26" s="928"/>
    </row>
    <row r="27" spans="1:14" s="266" customFormat="1" ht="12">
      <c r="A27" s="1339"/>
      <c r="B27" s="1437"/>
      <c r="C27" s="917"/>
      <c r="D27" s="544" t="s">
        <v>102</v>
      </c>
      <c r="E27" s="934"/>
      <c r="F27" s="933">
        <f>G27+H27</f>
        <v>2.94</v>
      </c>
      <c r="G27" s="933">
        <v>2.94</v>
      </c>
      <c r="H27" s="935"/>
      <c r="I27" s="927"/>
      <c r="J27" s="927"/>
      <c r="K27" s="927"/>
      <c r="L27" s="927"/>
      <c r="M27" s="923"/>
      <c r="N27" s="927"/>
    </row>
    <row r="28" spans="1:14" s="266" customFormat="1" ht="12.75" thickBot="1">
      <c r="A28" s="1229"/>
      <c r="B28" s="1438"/>
      <c r="C28" s="892"/>
      <c r="D28" s="558" t="s">
        <v>27</v>
      </c>
      <c r="E28" s="515"/>
      <c r="F28" s="516">
        <f>G28+H28</f>
        <v>0.31</v>
      </c>
      <c r="G28" s="516">
        <v>0.31</v>
      </c>
      <c r="H28" s="559"/>
      <c r="I28" s="891"/>
      <c r="J28" s="891"/>
      <c r="K28" s="891"/>
      <c r="L28" s="891"/>
      <c r="M28" s="924"/>
      <c r="N28" s="891"/>
    </row>
    <row r="29" spans="1:14" s="266" customFormat="1" ht="12" customHeight="1">
      <c r="A29" s="1167">
        <v>7</v>
      </c>
      <c r="B29" s="1173" t="s">
        <v>908</v>
      </c>
      <c r="C29" s="1182" t="s">
        <v>203</v>
      </c>
      <c r="D29" s="1173" t="s">
        <v>27</v>
      </c>
      <c r="E29" s="1173" t="s">
        <v>1277</v>
      </c>
      <c r="F29" s="1184">
        <f>G29+H29</f>
        <v>28.004</v>
      </c>
      <c r="G29" s="1169">
        <f>19.315+8.689</f>
        <v>28.004</v>
      </c>
      <c r="H29" s="1169">
        <v>0</v>
      </c>
      <c r="I29" s="644">
        <f aca="true" t="shared" si="2" ref="I29:I34">J29+K29</f>
        <v>1</v>
      </c>
      <c r="J29" s="648"/>
      <c r="K29" s="646">
        <v>1</v>
      </c>
      <c r="L29" s="644">
        <f aca="true" t="shared" si="3" ref="L29:L34">M29+N29</f>
        <v>16</v>
      </c>
      <c r="M29" s="648">
        <v>13</v>
      </c>
      <c r="N29" s="644">
        <v>3</v>
      </c>
    </row>
    <row r="30" spans="1:14" s="266" customFormat="1" ht="37.5" customHeight="1" thickBot="1">
      <c r="A30" s="1168"/>
      <c r="B30" s="1174"/>
      <c r="C30" s="1183"/>
      <c r="D30" s="1174"/>
      <c r="E30" s="1174"/>
      <c r="F30" s="1185"/>
      <c r="G30" s="1170"/>
      <c r="H30" s="1170"/>
      <c r="I30" s="885">
        <f t="shared" si="2"/>
        <v>81.2</v>
      </c>
      <c r="J30" s="611"/>
      <c r="K30" s="968">
        <v>81.2</v>
      </c>
      <c r="L30" s="883">
        <f t="shared" si="3"/>
        <v>457</v>
      </c>
      <c r="M30" s="611">
        <v>374</v>
      </c>
      <c r="N30" s="883">
        <v>83</v>
      </c>
    </row>
    <row r="31" spans="1:14" s="266" customFormat="1" ht="12">
      <c r="A31" s="1167">
        <v>8</v>
      </c>
      <c r="B31" s="1169" t="s">
        <v>909</v>
      </c>
      <c r="C31" s="1182" t="s">
        <v>212</v>
      </c>
      <c r="D31" s="1173" t="s">
        <v>27</v>
      </c>
      <c r="E31" s="1173" t="s">
        <v>711</v>
      </c>
      <c r="F31" s="1362">
        <f>G31+H31</f>
        <v>2.567</v>
      </c>
      <c r="G31" s="1184">
        <v>2.567</v>
      </c>
      <c r="H31" s="1178">
        <v>0</v>
      </c>
      <c r="I31" s="644">
        <f t="shared" si="2"/>
        <v>0</v>
      </c>
      <c r="J31" s="645">
        <v>0</v>
      </c>
      <c r="K31" s="646">
        <v>0</v>
      </c>
      <c r="L31" s="644">
        <f t="shared" si="3"/>
        <v>2</v>
      </c>
      <c r="M31" s="648">
        <v>2</v>
      </c>
      <c r="N31" s="644">
        <v>0</v>
      </c>
    </row>
    <row r="32" spans="1:14" s="266" customFormat="1" ht="12.75" thickBot="1">
      <c r="A32" s="1168"/>
      <c r="B32" s="1170"/>
      <c r="C32" s="1183"/>
      <c r="D32" s="1174"/>
      <c r="E32" s="1174"/>
      <c r="F32" s="1363"/>
      <c r="G32" s="1185"/>
      <c r="H32" s="1179"/>
      <c r="I32" s="883">
        <f t="shared" si="2"/>
        <v>0</v>
      </c>
      <c r="J32" s="990">
        <v>0</v>
      </c>
      <c r="K32" s="915">
        <v>0</v>
      </c>
      <c r="L32" s="883">
        <f t="shared" si="3"/>
        <v>34</v>
      </c>
      <c r="M32" s="611">
        <v>34</v>
      </c>
      <c r="N32" s="883">
        <v>0</v>
      </c>
    </row>
    <row r="33" spans="1:14" s="266" customFormat="1" ht="12">
      <c r="A33" s="1167">
        <v>9</v>
      </c>
      <c r="B33" s="1334" t="s">
        <v>910</v>
      </c>
      <c r="C33" s="1182" t="s">
        <v>204</v>
      </c>
      <c r="D33" s="1230" t="s">
        <v>624</v>
      </c>
      <c r="E33" s="1169" t="s">
        <v>1444</v>
      </c>
      <c r="F33" s="1184">
        <f>G33+H33</f>
        <v>24.109</v>
      </c>
      <c r="G33" s="1184">
        <v>24.109</v>
      </c>
      <c r="H33" s="1178">
        <v>0</v>
      </c>
      <c r="I33" s="644">
        <f t="shared" si="2"/>
        <v>0</v>
      </c>
      <c r="J33" s="645">
        <v>0</v>
      </c>
      <c r="K33" s="646">
        <v>0</v>
      </c>
      <c r="L33" s="644">
        <f t="shared" si="3"/>
        <v>11</v>
      </c>
      <c r="M33" s="648">
        <v>11</v>
      </c>
      <c r="N33" s="644">
        <v>0</v>
      </c>
    </row>
    <row r="34" spans="1:14" s="266" customFormat="1" ht="12.75" customHeight="1">
      <c r="A34" s="1163"/>
      <c r="B34" s="1335"/>
      <c r="C34" s="1332"/>
      <c r="D34" s="1333"/>
      <c r="E34" s="1358"/>
      <c r="F34" s="1162"/>
      <c r="G34" s="1162"/>
      <c r="H34" s="1366"/>
      <c r="I34" s="922">
        <f t="shared" si="2"/>
        <v>0</v>
      </c>
      <c r="J34" s="678">
        <v>0</v>
      </c>
      <c r="K34" s="984">
        <v>0</v>
      </c>
      <c r="L34" s="922">
        <f t="shared" si="3"/>
        <v>294</v>
      </c>
      <c r="M34" s="699">
        <v>294</v>
      </c>
      <c r="N34" s="922">
        <v>0</v>
      </c>
    </row>
    <row r="35" spans="1:14" s="266" customFormat="1" ht="12.75" customHeight="1">
      <c r="A35" s="1163"/>
      <c r="B35" s="1335"/>
      <c r="C35" s="679" t="s">
        <v>449</v>
      </c>
      <c r="D35" s="738" t="s">
        <v>100</v>
      </c>
      <c r="E35" s="739" t="s">
        <v>568</v>
      </c>
      <c r="F35" s="740">
        <f>G35+H35</f>
        <v>12</v>
      </c>
      <c r="G35" s="717">
        <v>12</v>
      </c>
      <c r="H35" s="741"/>
      <c r="I35" s="914"/>
      <c r="J35" s="914"/>
      <c r="K35" s="914"/>
      <c r="L35" s="914"/>
      <c r="M35" s="914"/>
      <c r="N35" s="880"/>
    </row>
    <row r="36" spans="1:14" s="266" customFormat="1" ht="0.75" customHeight="1">
      <c r="A36" s="1163"/>
      <c r="B36" s="1335"/>
      <c r="C36" s="679"/>
      <c r="D36" s="681"/>
      <c r="E36" s="742"/>
      <c r="F36" s="740"/>
      <c r="G36" s="717"/>
      <c r="H36" s="741"/>
      <c r="I36" s="914"/>
      <c r="J36" s="606"/>
      <c r="K36" s="914"/>
      <c r="L36" s="914"/>
      <c r="M36" s="606"/>
      <c r="N36" s="880"/>
    </row>
    <row r="37" spans="1:14" s="266" customFormat="1" ht="24.75" customHeight="1" thickBot="1">
      <c r="A37" s="1168"/>
      <c r="B37" s="1336"/>
      <c r="C37" s="608"/>
      <c r="D37" s="743" t="s">
        <v>27</v>
      </c>
      <c r="E37" s="884" t="s">
        <v>1499</v>
      </c>
      <c r="F37" s="1025">
        <f>G37+H37</f>
        <v>12.109</v>
      </c>
      <c r="G37" s="685">
        <v>12.109</v>
      </c>
      <c r="H37" s="885"/>
      <c r="I37" s="883"/>
      <c r="J37" s="990"/>
      <c r="K37" s="883"/>
      <c r="L37" s="883"/>
      <c r="M37" s="611"/>
      <c r="N37" s="883"/>
    </row>
    <row r="38" spans="1:14" s="266" customFormat="1" ht="12">
      <c r="A38" s="1167">
        <v>10</v>
      </c>
      <c r="B38" s="1169" t="s">
        <v>911</v>
      </c>
      <c r="C38" s="1182" t="s">
        <v>205</v>
      </c>
      <c r="D38" s="1173" t="s">
        <v>27</v>
      </c>
      <c r="E38" s="1169" t="s">
        <v>107</v>
      </c>
      <c r="F38" s="1178">
        <f>G38+H38</f>
        <v>4</v>
      </c>
      <c r="G38" s="1178">
        <v>4</v>
      </c>
      <c r="H38" s="1178">
        <v>0</v>
      </c>
      <c r="I38" s="644">
        <f aca="true" t="shared" si="4" ref="I38:I85">J38+K38</f>
        <v>1</v>
      </c>
      <c r="J38" s="645">
        <v>1</v>
      </c>
      <c r="K38" s="646">
        <v>0</v>
      </c>
      <c r="L38" s="644">
        <f aca="true" t="shared" si="5" ref="L38:L85">M38+N38</f>
        <v>5</v>
      </c>
      <c r="M38" s="648">
        <v>1</v>
      </c>
      <c r="N38" s="644">
        <v>4</v>
      </c>
    </row>
    <row r="39" spans="1:14" s="266" customFormat="1" ht="12.75" thickBot="1">
      <c r="A39" s="1168"/>
      <c r="B39" s="1170"/>
      <c r="C39" s="1183"/>
      <c r="D39" s="1174"/>
      <c r="E39" s="1170"/>
      <c r="F39" s="1179"/>
      <c r="G39" s="1179"/>
      <c r="H39" s="1179"/>
      <c r="I39" s="885">
        <f t="shared" si="4"/>
        <v>23.59</v>
      </c>
      <c r="J39" s="650">
        <v>23.59</v>
      </c>
      <c r="K39" s="915">
        <v>0</v>
      </c>
      <c r="L39" s="883">
        <f t="shared" si="5"/>
        <v>49</v>
      </c>
      <c r="M39" s="611">
        <v>5</v>
      </c>
      <c r="N39" s="883">
        <v>44</v>
      </c>
    </row>
    <row r="40" spans="1:14" s="266" customFormat="1" ht="12">
      <c r="A40" s="1167">
        <v>11</v>
      </c>
      <c r="B40" s="1169" t="s">
        <v>912</v>
      </c>
      <c r="C40" s="1182" t="s">
        <v>471</v>
      </c>
      <c r="D40" s="1173" t="s">
        <v>27</v>
      </c>
      <c r="E40" s="1173" t="s">
        <v>1445</v>
      </c>
      <c r="F40" s="1184">
        <f>G40+H40</f>
        <v>13.655</v>
      </c>
      <c r="G40" s="1184">
        <v>13.655</v>
      </c>
      <c r="H40" s="1178">
        <v>0</v>
      </c>
      <c r="I40" s="644">
        <f t="shared" si="4"/>
        <v>0</v>
      </c>
      <c r="J40" s="645">
        <v>0</v>
      </c>
      <c r="K40" s="646">
        <v>0</v>
      </c>
      <c r="L40" s="644">
        <f t="shared" si="5"/>
        <v>3</v>
      </c>
      <c r="M40" s="648">
        <v>3</v>
      </c>
      <c r="N40" s="644">
        <v>0</v>
      </c>
    </row>
    <row r="41" spans="1:14" s="266" customFormat="1" ht="12.75" thickBot="1">
      <c r="A41" s="1168"/>
      <c r="B41" s="1170"/>
      <c r="C41" s="1183"/>
      <c r="D41" s="1174"/>
      <c r="E41" s="1174"/>
      <c r="F41" s="1185"/>
      <c r="G41" s="1185"/>
      <c r="H41" s="1179"/>
      <c r="I41" s="883">
        <f t="shared" si="4"/>
        <v>0</v>
      </c>
      <c r="J41" s="990">
        <v>0</v>
      </c>
      <c r="K41" s="915">
        <v>0</v>
      </c>
      <c r="L41" s="883">
        <f t="shared" si="5"/>
        <v>54</v>
      </c>
      <c r="M41" s="611">
        <v>54</v>
      </c>
      <c r="N41" s="883">
        <v>0</v>
      </c>
    </row>
    <row r="42" spans="1:14" s="266" customFormat="1" ht="12" customHeight="1">
      <c r="A42" s="1167">
        <v>12</v>
      </c>
      <c r="B42" s="1169" t="s">
        <v>913</v>
      </c>
      <c r="C42" s="1182" t="s">
        <v>207</v>
      </c>
      <c r="D42" s="1173" t="s">
        <v>27</v>
      </c>
      <c r="E42" s="1169" t="s">
        <v>727</v>
      </c>
      <c r="F42" s="1184">
        <f>G42+H42</f>
        <v>17.218</v>
      </c>
      <c r="G42" s="1184">
        <v>17.218</v>
      </c>
      <c r="H42" s="1178">
        <v>0</v>
      </c>
      <c r="I42" s="882">
        <f t="shared" si="4"/>
        <v>1</v>
      </c>
      <c r="J42" s="989">
        <v>1</v>
      </c>
      <c r="K42" s="913">
        <v>0</v>
      </c>
      <c r="L42" s="882">
        <f t="shared" si="5"/>
        <v>17</v>
      </c>
      <c r="M42" s="719">
        <v>14</v>
      </c>
      <c r="N42" s="882">
        <v>3</v>
      </c>
    </row>
    <row r="43" spans="1:14" s="266" customFormat="1" ht="25.5" customHeight="1" thickBot="1">
      <c r="A43" s="1168"/>
      <c r="B43" s="1170"/>
      <c r="C43" s="1183"/>
      <c r="D43" s="1174"/>
      <c r="E43" s="1170"/>
      <c r="F43" s="1185"/>
      <c r="G43" s="1185"/>
      <c r="H43" s="1179"/>
      <c r="I43" s="883">
        <f t="shared" si="4"/>
        <v>35.55</v>
      </c>
      <c r="J43" s="990">
        <v>35.55</v>
      </c>
      <c r="K43" s="915">
        <v>0</v>
      </c>
      <c r="L43" s="883">
        <f t="shared" si="5"/>
        <v>236</v>
      </c>
      <c r="M43" s="611">
        <v>201</v>
      </c>
      <c r="N43" s="883">
        <v>35</v>
      </c>
    </row>
    <row r="44" spans="1:14" s="392" customFormat="1" ht="12.75">
      <c r="A44" s="1167">
        <v>13</v>
      </c>
      <c r="B44" s="1169" t="s">
        <v>914</v>
      </c>
      <c r="C44" s="1182" t="s">
        <v>208</v>
      </c>
      <c r="D44" s="1173" t="s">
        <v>27</v>
      </c>
      <c r="E44" s="1173" t="s">
        <v>52</v>
      </c>
      <c r="F44" s="1178">
        <f>G44+H44</f>
        <v>1.5</v>
      </c>
      <c r="G44" s="1178">
        <v>1.5</v>
      </c>
      <c r="H44" s="1178">
        <v>0</v>
      </c>
      <c r="I44" s="644">
        <f t="shared" si="4"/>
        <v>0</v>
      </c>
      <c r="J44" s="989">
        <v>0</v>
      </c>
      <c r="K44" s="913">
        <v>0</v>
      </c>
      <c r="L44" s="644">
        <f t="shared" si="5"/>
        <v>2</v>
      </c>
      <c r="M44" s="719">
        <v>0</v>
      </c>
      <c r="N44" s="882">
        <v>2</v>
      </c>
    </row>
    <row r="45" spans="1:14" s="392" customFormat="1" ht="13.5" thickBot="1">
      <c r="A45" s="1168"/>
      <c r="B45" s="1170"/>
      <c r="C45" s="1183"/>
      <c r="D45" s="1174"/>
      <c r="E45" s="1174"/>
      <c r="F45" s="1179"/>
      <c r="G45" s="1179"/>
      <c r="H45" s="1179"/>
      <c r="I45" s="883">
        <f t="shared" si="4"/>
        <v>0</v>
      </c>
      <c r="J45" s="990">
        <v>0</v>
      </c>
      <c r="K45" s="915">
        <v>0</v>
      </c>
      <c r="L45" s="883">
        <f t="shared" si="5"/>
        <v>23</v>
      </c>
      <c r="M45" s="611">
        <v>0</v>
      </c>
      <c r="N45" s="883">
        <v>23</v>
      </c>
    </row>
    <row r="46" spans="1:14" s="266" customFormat="1" ht="12">
      <c r="A46" s="1167">
        <v>14</v>
      </c>
      <c r="B46" s="1169" t="s">
        <v>915</v>
      </c>
      <c r="C46" s="1182" t="s">
        <v>209</v>
      </c>
      <c r="D46" s="1173" t="s">
        <v>102</v>
      </c>
      <c r="E46" s="1173" t="s">
        <v>210</v>
      </c>
      <c r="F46" s="1178">
        <f>G46+H46</f>
        <v>7</v>
      </c>
      <c r="G46" s="1178">
        <v>7</v>
      </c>
      <c r="H46" s="1178">
        <v>0</v>
      </c>
      <c r="I46" s="644">
        <f t="shared" si="4"/>
        <v>1</v>
      </c>
      <c r="J46" s="645">
        <v>1</v>
      </c>
      <c r="K46" s="646">
        <v>0</v>
      </c>
      <c r="L46" s="644">
        <f t="shared" si="5"/>
        <v>7</v>
      </c>
      <c r="M46" s="648">
        <v>7</v>
      </c>
      <c r="N46" s="644">
        <v>0</v>
      </c>
    </row>
    <row r="47" spans="1:14" s="266" customFormat="1" ht="12.75" thickBot="1">
      <c r="A47" s="1168"/>
      <c r="B47" s="1170"/>
      <c r="C47" s="1183"/>
      <c r="D47" s="1174"/>
      <c r="E47" s="1174"/>
      <c r="F47" s="1179"/>
      <c r="G47" s="1179"/>
      <c r="H47" s="1179"/>
      <c r="I47" s="883">
        <f t="shared" si="4"/>
        <v>42.67</v>
      </c>
      <c r="J47" s="990">
        <v>42.67</v>
      </c>
      <c r="K47" s="915">
        <v>0</v>
      </c>
      <c r="L47" s="883">
        <f t="shared" si="5"/>
        <v>153</v>
      </c>
      <c r="M47" s="611">
        <v>153</v>
      </c>
      <c r="N47" s="883">
        <v>0</v>
      </c>
    </row>
    <row r="48" spans="1:14" s="266" customFormat="1" ht="12">
      <c r="A48" s="1167">
        <v>15</v>
      </c>
      <c r="B48" s="1169" t="s">
        <v>916</v>
      </c>
      <c r="C48" s="1182" t="s">
        <v>221</v>
      </c>
      <c r="D48" s="1173" t="s">
        <v>27</v>
      </c>
      <c r="E48" s="1173" t="s">
        <v>1451</v>
      </c>
      <c r="F48" s="1184">
        <f>G48+H48</f>
        <v>7.712</v>
      </c>
      <c r="G48" s="1184">
        <v>7.712</v>
      </c>
      <c r="H48" s="1178">
        <v>0</v>
      </c>
      <c r="I48" s="644">
        <f t="shared" si="4"/>
        <v>1</v>
      </c>
      <c r="J48" s="645">
        <v>1</v>
      </c>
      <c r="K48" s="646">
        <v>0</v>
      </c>
      <c r="L48" s="644">
        <f t="shared" si="5"/>
        <v>8</v>
      </c>
      <c r="M48" s="648">
        <v>6</v>
      </c>
      <c r="N48" s="644">
        <v>2</v>
      </c>
    </row>
    <row r="49" spans="1:14" s="266" customFormat="1" ht="12.75" thickBot="1">
      <c r="A49" s="1168"/>
      <c r="B49" s="1170"/>
      <c r="C49" s="1183"/>
      <c r="D49" s="1174"/>
      <c r="E49" s="1174"/>
      <c r="F49" s="1185"/>
      <c r="G49" s="1185"/>
      <c r="H49" s="1179"/>
      <c r="I49" s="885">
        <f t="shared" si="4"/>
        <v>6</v>
      </c>
      <c r="J49" s="650">
        <v>6</v>
      </c>
      <c r="K49" s="915">
        <v>0</v>
      </c>
      <c r="L49" s="883">
        <f t="shared" si="5"/>
        <v>84</v>
      </c>
      <c r="M49" s="611">
        <v>62</v>
      </c>
      <c r="N49" s="883">
        <v>22</v>
      </c>
    </row>
    <row r="50" spans="1:14" s="266" customFormat="1" ht="12">
      <c r="A50" s="1167">
        <v>16</v>
      </c>
      <c r="B50" s="1169" t="s">
        <v>917</v>
      </c>
      <c r="C50" s="1182" t="s">
        <v>211</v>
      </c>
      <c r="D50" s="1173" t="s">
        <v>27</v>
      </c>
      <c r="E50" s="1173" t="s">
        <v>594</v>
      </c>
      <c r="F50" s="1178">
        <f>G50+H50</f>
        <v>6.65</v>
      </c>
      <c r="G50" s="1178">
        <v>1</v>
      </c>
      <c r="H50" s="1178">
        <v>5.65</v>
      </c>
      <c r="I50" s="644">
        <f t="shared" si="4"/>
        <v>1</v>
      </c>
      <c r="J50" s="645">
        <v>0</v>
      </c>
      <c r="K50" s="646">
        <v>1</v>
      </c>
      <c r="L50" s="644">
        <f t="shared" si="5"/>
        <v>4</v>
      </c>
      <c r="M50" s="648">
        <v>4</v>
      </c>
      <c r="N50" s="644">
        <v>0</v>
      </c>
    </row>
    <row r="51" spans="1:14" s="266" customFormat="1" ht="12.75" thickBot="1">
      <c r="A51" s="1168"/>
      <c r="B51" s="1170"/>
      <c r="C51" s="1183"/>
      <c r="D51" s="1174"/>
      <c r="E51" s="1174"/>
      <c r="F51" s="1179"/>
      <c r="G51" s="1179"/>
      <c r="H51" s="1179"/>
      <c r="I51" s="885">
        <f t="shared" si="4"/>
        <v>9.7</v>
      </c>
      <c r="J51" s="990">
        <v>0</v>
      </c>
      <c r="K51" s="968">
        <v>9.7</v>
      </c>
      <c r="L51" s="883">
        <f t="shared" si="5"/>
        <v>42</v>
      </c>
      <c r="M51" s="611">
        <v>42</v>
      </c>
      <c r="N51" s="883">
        <v>0</v>
      </c>
    </row>
    <row r="52" spans="1:14" s="266" customFormat="1" ht="12">
      <c r="A52" s="1167">
        <v>17</v>
      </c>
      <c r="B52" s="1169" t="s">
        <v>918</v>
      </c>
      <c r="C52" s="1182" t="s">
        <v>220</v>
      </c>
      <c r="D52" s="1173" t="s">
        <v>27</v>
      </c>
      <c r="E52" s="1173" t="s">
        <v>529</v>
      </c>
      <c r="F52" s="1178">
        <v>5.19</v>
      </c>
      <c r="G52" s="1178">
        <v>5.19</v>
      </c>
      <c r="H52" s="1178">
        <v>0</v>
      </c>
      <c r="I52" s="644">
        <f t="shared" si="4"/>
        <v>1</v>
      </c>
      <c r="J52" s="645">
        <v>1</v>
      </c>
      <c r="K52" s="646">
        <v>0</v>
      </c>
      <c r="L52" s="644">
        <f t="shared" si="5"/>
        <v>5</v>
      </c>
      <c r="M52" s="648">
        <v>5</v>
      </c>
      <c r="N52" s="644">
        <v>0</v>
      </c>
    </row>
    <row r="53" spans="1:14" s="266" customFormat="1" ht="12.75" thickBot="1">
      <c r="A53" s="1168"/>
      <c r="B53" s="1170"/>
      <c r="C53" s="1183"/>
      <c r="D53" s="1174"/>
      <c r="E53" s="1174"/>
      <c r="F53" s="1179"/>
      <c r="G53" s="1179"/>
      <c r="H53" s="1179"/>
      <c r="I53" s="885">
        <f t="shared" si="4"/>
        <v>31.7</v>
      </c>
      <c r="J53" s="650">
        <v>31.7</v>
      </c>
      <c r="K53" s="915">
        <v>0</v>
      </c>
      <c r="L53" s="883">
        <f t="shared" si="5"/>
        <v>82</v>
      </c>
      <c r="M53" s="611">
        <v>82</v>
      </c>
      <c r="N53" s="883">
        <v>0</v>
      </c>
    </row>
    <row r="54" spans="1:14" s="266" customFormat="1" ht="12">
      <c r="A54" s="1167">
        <v>18</v>
      </c>
      <c r="B54" s="1169" t="s">
        <v>919</v>
      </c>
      <c r="C54" s="1182" t="s">
        <v>214</v>
      </c>
      <c r="D54" s="1173" t="s">
        <v>27</v>
      </c>
      <c r="E54" s="1173" t="s">
        <v>1388</v>
      </c>
      <c r="F54" s="1184">
        <f>G54+H54</f>
        <v>2.76</v>
      </c>
      <c r="G54" s="1178">
        <v>0</v>
      </c>
      <c r="H54" s="1184">
        <v>2.76</v>
      </c>
      <c r="I54" s="644">
        <f t="shared" si="4"/>
        <v>0</v>
      </c>
      <c r="J54" s="645">
        <v>0</v>
      </c>
      <c r="K54" s="646">
        <v>0</v>
      </c>
      <c r="L54" s="644">
        <f t="shared" si="5"/>
        <v>2</v>
      </c>
      <c r="M54" s="648">
        <v>2</v>
      </c>
      <c r="N54" s="644">
        <v>0</v>
      </c>
    </row>
    <row r="55" spans="1:14" s="266" customFormat="1" ht="12.75" thickBot="1">
      <c r="A55" s="1168"/>
      <c r="B55" s="1170"/>
      <c r="C55" s="1183"/>
      <c r="D55" s="1174"/>
      <c r="E55" s="1174"/>
      <c r="F55" s="1185"/>
      <c r="G55" s="1179"/>
      <c r="H55" s="1185"/>
      <c r="I55" s="883">
        <f t="shared" si="4"/>
        <v>0</v>
      </c>
      <c r="J55" s="990">
        <v>0</v>
      </c>
      <c r="K55" s="915">
        <v>0</v>
      </c>
      <c r="L55" s="883">
        <f t="shared" si="5"/>
        <v>27</v>
      </c>
      <c r="M55" s="611">
        <v>27</v>
      </c>
      <c r="N55" s="883">
        <v>0</v>
      </c>
    </row>
    <row r="56" spans="1:14" s="266" customFormat="1" ht="12">
      <c r="A56" s="1167">
        <v>19</v>
      </c>
      <c r="B56" s="1169" t="s">
        <v>920</v>
      </c>
      <c r="C56" s="1182" t="s">
        <v>215</v>
      </c>
      <c r="D56" s="1173" t="s">
        <v>27</v>
      </c>
      <c r="E56" s="1173" t="s">
        <v>107</v>
      </c>
      <c r="F56" s="1178">
        <f>G56+H56</f>
        <v>4</v>
      </c>
      <c r="G56" s="1178">
        <v>4</v>
      </c>
      <c r="H56" s="1178">
        <v>0</v>
      </c>
      <c r="I56" s="644">
        <f t="shared" si="4"/>
        <v>0</v>
      </c>
      <c r="J56" s="645">
        <v>0</v>
      </c>
      <c r="K56" s="646">
        <v>0</v>
      </c>
      <c r="L56" s="644">
        <f t="shared" si="5"/>
        <v>3</v>
      </c>
      <c r="M56" s="648">
        <v>3</v>
      </c>
      <c r="N56" s="644">
        <v>0</v>
      </c>
    </row>
    <row r="57" spans="1:14" s="266" customFormat="1" ht="12.75" thickBot="1">
      <c r="A57" s="1168"/>
      <c r="B57" s="1170"/>
      <c r="C57" s="1183"/>
      <c r="D57" s="1174"/>
      <c r="E57" s="1174"/>
      <c r="F57" s="1179"/>
      <c r="G57" s="1179"/>
      <c r="H57" s="1179"/>
      <c r="I57" s="883">
        <f t="shared" si="4"/>
        <v>0</v>
      </c>
      <c r="J57" s="990">
        <v>0</v>
      </c>
      <c r="K57" s="915">
        <v>0</v>
      </c>
      <c r="L57" s="883">
        <f t="shared" si="5"/>
        <v>65</v>
      </c>
      <c r="M57" s="611">
        <v>65</v>
      </c>
      <c r="N57" s="883">
        <v>0</v>
      </c>
    </row>
    <row r="58" spans="1:14" s="266" customFormat="1" ht="12">
      <c r="A58" s="1167">
        <v>20</v>
      </c>
      <c r="B58" s="1169" t="s">
        <v>921</v>
      </c>
      <c r="C58" s="1182" t="s">
        <v>216</v>
      </c>
      <c r="D58" s="1173" t="s">
        <v>27</v>
      </c>
      <c r="E58" s="1173" t="s">
        <v>52</v>
      </c>
      <c r="F58" s="1178">
        <f>G58+H58</f>
        <v>1.5</v>
      </c>
      <c r="G58" s="1178">
        <v>0</v>
      </c>
      <c r="H58" s="1178">
        <v>1.5</v>
      </c>
      <c r="I58" s="644">
        <f t="shared" si="4"/>
        <v>0</v>
      </c>
      <c r="J58" s="645">
        <v>0</v>
      </c>
      <c r="K58" s="646">
        <v>0</v>
      </c>
      <c r="L58" s="644">
        <f t="shared" si="5"/>
        <v>0</v>
      </c>
      <c r="M58" s="648">
        <v>0</v>
      </c>
      <c r="N58" s="644">
        <v>0</v>
      </c>
    </row>
    <row r="59" spans="1:14" s="266" customFormat="1" ht="12.75" thickBot="1">
      <c r="A59" s="1168"/>
      <c r="B59" s="1170"/>
      <c r="C59" s="1183"/>
      <c r="D59" s="1174"/>
      <c r="E59" s="1174"/>
      <c r="F59" s="1179"/>
      <c r="G59" s="1179"/>
      <c r="H59" s="1179"/>
      <c r="I59" s="883">
        <f t="shared" si="4"/>
        <v>0</v>
      </c>
      <c r="J59" s="990">
        <v>0</v>
      </c>
      <c r="K59" s="915">
        <v>0</v>
      </c>
      <c r="L59" s="883">
        <f t="shared" si="5"/>
        <v>0</v>
      </c>
      <c r="M59" s="611">
        <v>0</v>
      </c>
      <c r="N59" s="883">
        <v>0</v>
      </c>
    </row>
    <row r="60" spans="1:14" s="266" customFormat="1" ht="12">
      <c r="A60" s="1167">
        <v>21</v>
      </c>
      <c r="B60" s="1169" t="s">
        <v>922</v>
      </c>
      <c r="C60" s="1182" t="s">
        <v>217</v>
      </c>
      <c r="D60" s="1173" t="s">
        <v>27</v>
      </c>
      <c r="E60" s="1173" t="s">
        <v>52</v>
      </c>
      <c r="F60" s="1178">
        <f>G60+H60</f>
        <v>1.5</v>
      </c>
      <c r="G60" s="1178">
        <v>1.5</v>
      </c>
      <c r="H60" s="1178">
        <v>0</v>
      </c>
      <c r="I60" s="644">
        <f t="shared" si="4"/>
        <v>0</v>
      </c>
      <c r="J60" s="645">
        <v>0</v>
      </c>
      <c r="K60" s="646">
        <v>0</v>
      </c>
      <c r="L60" s="644">
        <f t="shared" si="5"/>
        <v>1</v>
      </c>
      <c r="M60" s="648">
        <v>1</v>
      </c>
      <c r="N60" s="644">
        <v>0</v>
      </c>
    </row>
    <row r="61" spans="1:14" s="266" customFormat="1" ht="12.75" thickBot="1">
      <c r="A61" s="1168"/>
      <c r="B61" s="1170"/>
      <c r="C61" s="1183"/>
      <c r="D61" s="1174"/>
      <c r="E61" s="1174"/>
      <c r="F61" s="1179"/>
      <c r="G61" s="1179"/>
      <c r="H61" s="1179"/>
      <c r="I61" s="883">
        <f t="shared" si="4"/>
        <v>0</v>
      </c>
      <c r="J61" s="990">
        <v>0</v>
      </c>
      <c r="K61" s="915">
        <v>0</v>
      </c>
      <c r="L61" s="883">
        <f t="shared" si="5"/>
        <v>12</v>
      </c>
      <c r="M61" s="611">
        <v>12</v>
      </c>
      <c r="N61" s="883">
        <v>0</v>
      </c>
    </row>
    <row r="62" spans="1:14" s="266" customFormat="1" ht="12.75" hidden="1" thickBot="1">
      <c r="A62" s="1618">
        <v>22</v>
      </c>
      <c r="B62" s="1610" t="s">
        <v>923</v>
      </c>
      <c r="C62" s="1620" t="s">
        <v>218</v>
      </c>
      <c r="D62" s="1616" t="s">
        <v>27</v>
      </c>
      <c r="E62" s="1616" t="s">
        <v>107</v>
      </c>
      <c r="F62" s="1614">
        <f>G62+H62</f>
        <v>0</v>
      </c>
      <c r="G62" s="1614"/>
      <c r="H62" s="1614"/>
      <c r="I62" s="801">
        <f t="shared" si="4"/>
        <v>0</v>
      </c>
      <c r="J62" s="802">
        <v>0</v>
      </c>
      <c r="K62" s="803"/>
      <c r="L62" s="801">
        <f t="shared" si="5"/>
        <v>0</v>
      </c>
      <c r="M62" s="804"/>
      <c r="N62" s="801">
        <v>0</v>
      </c>
    </row>
    <row r="63" spans="1:14" s="266" customFormat="1" ht="12.75" hidden="1" thickBot="1">
      <c r="A63" s="1619"/>
      <c r="B63" s="1611"/>
      <c r="C63" s="1621"/>
      <c r="D63" s="1617"/>
      <c r="E63" s="1617"/>
      <c r="F63" s="1615"/>
      <c r="G63" s="1615"/>
      <c r="H63" s="1615"/>
      <c r="I63" s="972">
        <f t="shared" si="4"/>
        <v>0</v>
      </c>
      <c r="J63" s="805">
        <v>0</v>
      </c>
      <c r="K63" s="806"/>
      <c r="L63" s="807">
        <f t="shared" si="5"/>
        <v>0</v>
      </c>
      <c r="M63" s="808"/>
      <c r="N63" s="807">
        <v>0</v>
      </c>
    </row>
    <row r="64" spans="1:14" s="266" customFormat="1" ht="12">
      <c r="A64" s="1167">
        <v>22</v>
      </c>
      <c r="B64" s="1169" t="s">
        <v>924</v>
      </c>
      <c r="C64" s="1182" t="s">
        <v>470</v>
      </c>
      <c r="D64" s="1173" t="s">
        <v>27</v>
      </c>
      <c r="E64" s="1173" t="s">
        <v>645</v>
      </c>
      <c r="F64" s="1184">
        <f>G64+H64</f>
        <v>4.106</v>
      </c>
      <c r="G64" s="1184">
        <v>4.106</v>
      </c>
      <c r="H64" s="1178">
        <v>0</v>
      </c>
      <c r="I64" s="644">
        <f t="shared" si="4"/>
        <v>1</v>
      </c>
      <c r="J64" s="648">
        <v>0</v>
      </c>
      <c r="K64" s="644">
        <v>1</v>
      </c>
      <c r="L64" s="645">
        <f t="shared" si="5"/>
        <v>5</v>
      </c>
      <c r="M64" s="648">
        <v>4</v>
      </c>
      <c r="N64" s="644">
        <v>1</v>
      </c>
    </row>
    <row r="65" spans="1:14" s="266" customFormat="1" ht="12.75" thickBot="1">
      <c r="A65" s="1168"/>
      <c r="B65" s="1170"/>
      <c r="C65" s="1183"/>
      <c r="D65" s="1174"/>
      <c r="E65" s="1174"/>
      <c r="F65" s="1185"/>
      <c r="G65" s="1185"/>
      <c r="H65" s="1179"/>
      <c r="I65" s="885">
        <f t="shared" si="4"/>
        <v>6.1</v>
      </c>
      <c r="J65" s="611">
        <v>0</v>
      </c>
      <c r="K65" s="885">
        <v>6.1</v>
      </c>
      <c r="L65" s="990">
        <f t="shared" si="5"/>
        <v>53</v>
      </c>
      <c r="M65" s="611">
        <v>33</v>
      </c>
      <c r="N65" s="883">
        <v>20</v>
      </c>
    </row>
    <row r="66" spans="1:14" s="266" customFormat="1" ht="12">
      <c r="A66" s="1167">
        <v>23</v>
      </c>
      <c r="B66" s="1169" t="s">
        <v>925</v>
      </c>
      <c r="C66" s="1182" t="s">
        <v>213</v>
      </c>
      <c r="D66" s="1173" t="s">
        <v>27</v>
      </c>
      <c r="E66" s="1173" t="s">
        <v>644</v>
      </c>
      <c r="F66" s="1184">
        <f>G66+H66</f>
        <v>12.58</v>
      </c>
      <c r="G66" s="1184">
        <v>0.035</v>
      </c>
      <c r="H66" s="1184">
        <v>12.545</v>
      </c>
      <c r="I66" s="644">
        <f t="shared" si="4"/>
        <v>2</v>
      </c>
      <c r="J66" s="645">
        <v>0</v>
      </c>
      <c r="K66" s="646">
        <v>2</v>
      </c>
      <c r="L66" s="644">
        <f t="shared" si="5"/>
        <v>13</v>
      </c>
      <c r="M66" s="648">
        <v>8</v>
      </c>
      <c r="N66" s="644">
        <v>5</v>
      </c>
    </row>
    <row r="67" spans="1:14" s="266" customFormat="1" ht="12.75" thickBot="1">
      <c r="A67" s="1168"/>
      <c r="B67" s="1170"/>
      <c r="C67" s="1183"/>
      <c r="D67" s="1174"/>
      <c r="E67" s="1174"/>
      <c r="F67" s="1185"/>
      <c r="G67" s="1185"/>
      <c r="H67" s="1185"/>
      <c r="I67" s="885">
        <f t="shared" si="4"/>
        <v>13</v>
      </c>
      <c r="J67" s="990">
        <v>0</v>
      </c>
      <c r="K67" s="968">
        <v>13</v>
      </c>
      <c r="L67" s="883">
        <f t="shared" si="5"/>
        <v>154</v>
      </c>
      <c r="M67" s="611">
        <v>104</v>
      </c>
      <c r="N67" s="883">
        <v>50</v>
      </c>
    </row>
    <row r="68" spans="1:14" s="266" customFormat="1" ht="12">
      <c r="A68" s="1228">
        <v>24</v>
      </c>
      <c r="B68" s="1189" t="s">
        <v>926</v>
      </c>
      <c r="C68" s="1191" t="s">
        <v>201</v>
      </c>
      <c r="D68" s="1199" t="s">
        <v>102</v>
      </c>
      <c r="E68" s="1189" t="s">
        <v>202</v>
      </c>
      <c r="F68" s="1197">
        <f>G68+H68</f>
        <v>22</v>
      </c>
      <c r="G68" s="1197">
        <v>22</v>
      </c>
      <c r="H68" s="1197">
        <v>0</v>
      </c>
      <c r="I68" s="502">
        <f t="shared" si="4"/>
        <v>2</v>
      </c>
      <c r="J68" s="503">
        <v>2</v>
      </c>
      <c r="K68" s="504">
        <v>0</v>
      </c>
      <c r="L68" s="502">
        <f t="shared" si="5"/>
        <v>29</v>
      </c>
      <c r="M68" s="506">
        <v>25</v>
      </c>
      <c r="N68" s="502">
        <v>4</v>
      </c>
    </row>
    <row r="69" spans="1:14" s="266" customFormat="1" ht="26.25" customHeight="1" thickBot="1">
      <c r="A69" s="1229"/>
      <c r="B69" s="1190"/>
      <c r="C69" s="1192"/>
      <c r="D69" s="1200"/>
      <c r="E69" s="1190"/>
      <c r="F69" s="1198"/>
      <c r="G69" s="1198"/>
      <c r="H69" s="1198"/>
      <c r="I69" s="891">
        <f>J69+K69</f>
        <v>58.36</v>
      </c>
      <c r="J69" s="589">
        <v>58.36</v>
      </c>
      <c r="K69" s="924">
        <v>0</v>
      </c>
      <c r="L69" s="891">
        <f t="shared" si="5"/>
        <v>890</v>
      </c>
      <c r="M69" s="953">
        <v>821</v>
      </c>
      <c r="N69" s="891">
        <v>69</v>
      </c>
    </row>
    <row r="70" spans="1:14" s="266" customFormat="1" ht="12">
      <c r="A70" s="1167">
        <v>25</v>
      </c>
      <c r="B70" s="1169" t="s">
        <v>927</v>
      </c>
      <c r="C70" s="1182" t="s">
        <v>224</v>
      </c>
      <c r="D70" s="1173" t="s">
        <v>102</v>
      </c>
      <c r="E70" s="1173" t="s">
        <v>1450</v>
      </c>
      <c r="F70" s="1184">
        <f>G70+H70</f>
        <v>10.562</v>
      </c>
      <c r="G70" s="1184">
        <v>10.562</v>
      </c>
      <c r="H70" s="1178">
        <v>0</v>
      </c>
      <c r="I70" s="644">
        <f t="shared" si="4"/>
        <v>2</v>
      </c>
      <c r="J70" s="645">
        <v>2</v>
      </c>
      <c r="K70" s="646">
        <v>0</v>
      </c>
      <c r="L70" s="644">
        <f t="shared" si="5"/>
        <v>19</v>
      </c>
      <c r="M70" s="648">
        <v>16</v>
      </c>
      <c r="N70" s="644">
        <v>3</v>
      </c>
    </row>
    <row r="71" spans="1:14" s="266" customFormat="1" ht="12.75" thickBot="1">
      <c r="A71" s="1168"/>
      <c r="B71" s="1170"/>
      <c r="C71" s="1183"/>
      <c r="D71" s="1174"/>
      <c r="E71" s="1174"/>
      <c r="F71" s="1185"/>
      <c r="G71" s="1185"/>
      <c r="H71" s="1179"/>
      <c r="I71" s="883">
        <f t="shared" si="4"/>
        <v>174.61</v>
      </c>
      <c r="J71" s="990">
        <v>174.61</v>
      </c>
      <c r="K71" s="915">
        <v>0</v>
      </c>
      <c r="L71" s="883">
        <f t="shared" si="5"/>
        <v>463</v>
      </c>
      <c r="M71" s="611">
        <v>445</v>
      </c>
      <c r="N71" s="883">
        <v>18</v>
      </c>
    </row>
    <row r="72" spans="1:14" s="266" customFormat="1" ht="12">
      <c r="A72" s="1167">
        <v>26</v>
      </c>
      <c r="B72" s="1169" t="s">
        <v>928</v>
      </c>
      <c r="C72" s="1182" t="s">
        <v>223</v>
      </c>
      <c r="D72" s="1173" t="s">
        <v>27</v>
      </c>
      <c r="E72" s="1173" t="s">
        <v>120</v>
      </c>
      <c r="F72" s="1178">
        <f>G72+H72</f>
        <v>5</v>
      </c>
      <c r="G72" s="1178">
        <v>2</v>
      </c>
      <c r="H72" s="1178">
        <v>3</v>
      </c>
      <c r="I72" s="644">
        <f t="shared" si="4"/>
        <v>0</v>
      </c>
      <c r="J72" s="645">
        <v>0</v>
      </c>
      <c r="K72" s="646">
        <v>0</v>
      </c>
      <c r="L72" s="644">
        <f t="shared" si="5"/>
        <v>2</v>
      </c>
      <c r="M72" s="648">
        <v>1</v>
      </c>
      <c r="N72" s="644">
        <v>1</v>
      </c>
    </row>
    <row r="73" spans="1:14" s="266" customFormat="1" ht="18.75" customHeight="1" thickBot="1">
      <c r="A73" s="1168"/>
      <c r="B73" s="1170"/>
      <c r="C73" s="1183"/>
      <c r="D73" s="1174"/>
      <c r="E73" s="1174"/>
      <c r="F73" s="1179"/>
      <c r="G73" s="1179"/>
      <c r="H73" s="1179"/>
      <c r="I73" s="883">
        <f t="shared" si="4"/>
        <v>0</v>
      </c>
      <c r="J73" s="990">
        <v>0</v>
      </c>
      <c r="K73" s="915">
        <v>0</v>
      </c>
      <c r="L73" s="883">
        <f t="shared" si="5"/>
        <v>39</v>
      </c>
      <c r="M73" s="611">
        <v>29</v>
      </c>
      <c r="N73" s="883">
        <v>10</v>
      </c>
    </row>
    <row r="74" spans="1:14" s="266" customFormat="1" ht="12">
      <c r="A74" s="1167">
        <v>27</v>
      </c>
      <c r="B74" s="1169" t="s">
        <v>929</v>
      </c>
      <c r="C74" s="1182" t="s">
        <v>222</v>
      </c>
      <c r="D74" s="1173" t="s">
        <v>27</v>
      </c>
      <c r="E74" s="1173" t="s">
        <v>1283</v>
      </c>
      <c r="F74" s="1184">
        <f>G74+H74</f>
        <v>40.911</v>
      </c>
      <c r="G74" s="1184">
        <v>18</v>
      </c>
      <c r="H74" s="1184">
        <v>22.911</v>
      </c>
      <c r="I74" s="644">
        <f t="shared" si="4"/>
        <v>0</v>
      </c>
      <c r="J74" s="645">
        <v>0</v>
      </c>
      <c r="K74" s="646">
        <v>0</v>
      </c>
      <c r="L74" s="644">
        <f t="shared" si="5"/>
        <v>64</v>
      </c>
      <c r="M74" s="648">
        <v>48</v>
      </c>
      <c r="N74" s="644">
        <v>16</v>
      </c>
    </row>
    <row r="75" spans="1:14" s="266" customFormat="1" ht="23.25" customHeight="1" thickBot="1">
      <c r="A75" s="1168"/>
      <c r="B75" s="1170"/>
      <c r="C75" s="1183"/>
      <c r="D75" s="1174"/>
      <c r="E75" s="1174"/>
      <c r="F75" s="1185"/>
      <c r="G75" s="1185"/>
      <c r="H75" s="1185"/>
      <c r="I75" s="883">
        <f t="shared" si="4"/>
        <v>0</v>
      </c>
      <c r="J75" s="990">
        <v>0</v>
      </c>
      <c r="K75" s="915">
        <v>0</v>
      </c>
      <c r="L75" s="883">
        <f t="shared" si="5"/>
        <v>908</v>
      </c>
      <c r="M75" s="611">
        <v>742</v>
      </c>
      <c r="N75" s="883">
        <v>166</v>
      </c>
    </row>
    <row r="76" spans="1:14" s="266" customFormat="1" ht="12">
      <c r="A76" s="1167">
        <v>28</v>
      </c>
      <c r="B76" s="1169" t="s">
        <v>930</v>
      </c>
      <c r="C76" s="1182" t="s">
        <v>559</v>
      </c>
      <c r="D76" s="1173" t="s">
        <v>102</v>
      </c>
      <c r="E76" s="1173" t="s">
        <v>10</v>
      </c>
      <c r="F76" s="1178">
        <f>G76+H76</f>
        <v>3.5</v>
      </c>
      <c r="G76" s="1178">
        <v>3.5</v>
      </c>
      <c r="H76" s="1178">
        <v>0</v>
      </c>
      <c r="I76" s="644">
        <f t="shared" si="4"/>
        <v>0</v>
      </c>
      <c r="J76" s="645">
        <v>0</v>
      </c>
      <c r="K76" s="646">
        <v>0</v>
      </c>
      <c r="L76" s="644">
        <f t="shared" si="5"/>
        <v>5</v>
      </c>
      <c r="M76" s="648">
        <v>5</v>
      </c>
      <c r="N76" s="644">
        <v>0</v>
      </c>
    </row>
    <row r="77" spans="1:14" s="266" customFormat="1" ht="12.75" thickBot="1">
      <c r="A77" s="1168"/>
      <c r="B77" s="1170"/>
      <c r="C77" s="1183"/>
      <c r="D77" s="1174"/>
      <c r="E77" s="1174"/>
      <c r="F77" s="1179"/>
      <c r="G77" s="1179"/>
      <c r="H77" s="1179"/>
      <c r="I77" s="883">
        <f t="shared" si="4"/>
        <v>0</v>
      </c>
      <c r="J77" s="990">
        <v>0</v>
      </c>
      <c r="K77" s="915">
        <v>0</v>
      </c>
      <c r="L77" s="883">
        <f t="shared" si="5"/>
        <v>82</v>
      </c>
      <c r="M77" s="611">
        <v>82</v>
      </c>
      <c r="N77" s="883">
        <v>0</v>
      </c>
    </row>
    <row r="78" spans="1:14" s="266" customFormat="1" ht="12">
      <c r="A78" s="1167">
        <v>29</v>
      </c>
      <c r="B78" s="1169" t="s">
        <v>931</v>
      </c>
      <c r="C78" s="1182" t="s">
        <v>225</v>
      </c>
      <c r="D78" s="1173" t="s">
        <v>27</v>
      </c>
      <c r="E78" s="1173" t="s">
        <v>1452</v>
      </c>
      <c r="F78" s="1184">
        <f>G78+H78</f>
        <v>5.486</v>
      </c>
      <c r="G78" s="1184">
        <v>5.486</v>
      </c>
      <c r="H78" s="1178">
        <v>0</v>
      </c>
      <c r="I78" s="644">
        <f t="shared" si="4"/>
        <v>0</v>
      </c>
      <c r="J78" s="645">
        <v>0</v>
      </c>
      <c r="K78" s="646">
        <v>0</v>
      </c>
      <c r="L78" s="644">
        <f t="shared" si="5"/>
        <v>7</v>
      </c>
      <c r="M78" s="648">
        <v>2</v>
      </c>
      <c r="N78" s="644">
        <v>5</v>
      </c>
    </row>
    <row r="79" spans="1:14" s="266" customFormat="1" ht="12.75" thickBot="1">
      <c r="A79" s="1168"/>
      <c r="B79" s="1170"/>
      <c r="C79" s="1183"/>
      <c r="D79" s="1174"/>
      <c r="E79" s="1174"/>
      <c r="F79" s="1185"/>
      <c r="G79" s="1185"/>
      <c r="H79" s="1179"/>
      <c r="I79" s="883">
        <f t="shared" si="4"/>
        <v>0</v>
      </c>
      <c r="J79" s="990">
        <v>0</v>
      </c>
      <c r="K79" s="915">
        <v>0</v>
      </c>
      <c r="L79" s="883">
        <f t="shared" si="5"/>
        <v>57</v>
      </c>
      <c r="M79" s="611">
        <v>19</v>
      </c>
      <c r="N79" s="883">
        <v>38</v>
      </c>
    </row>
    <row r="80" spans="1:14" s="266" customFormat="1" ht="12">
      <c r="A80" s="1167">
        <v>30</v>
      </c>
      <c r="B80" s="1169" t="s">
        <v>932</v>
      </c>
      <c r="C80" s="1182" t="s">
        <v>428</v>
      </c>
      <c r="D80" s="1173" t="s">
        <v>27</v>
      </c>
      <c r="E80" s="1173" t="s">
        <v>1306</v>
      </c>
      <c r="F80" s="1178">
        <f>G80+H80</f>
        <v>11.8</v>
      </c>
      <c r="G80" s="1178">
        <v>0</v>
      </c>
      <c r="H80" s="1178">
        <v>11.8</v>
      </c>
      <c r="I80" s="644">
        <f t="shared" si="4"/>
        <v>0</v>
      </c>
      <c r="J80" s="645">
        <v>0</v>
      </c>
      <c r="K80" s="646">
        <v>0</v>
      </c>
      <c r="L80" s="644">
        <f t="shared" si="5"/>
        <v>2</v>
      </c>
      <c r="M80" s="648">
        <v>2</v>
      </c>
      <c r="N80" s="644">
        <v>0</v>
      </c>
    </row>
    <row r="81" spans="1:14" s="266" customFormat="1" ht="12" customHeight="1" thickBot="1">
      <c r="A81" s="1168"/>
      <c r="B81" s="1170"/>
      <c r="C81" s="1183"/>
      <c r="D81" s="1174"/>
      <c r="E81" s="1174"/>
      <c r="F81" s="1179"/>
      <c r="G81" s="1179"/>
      <c r="H81" s="1179"/>
      <c r="I81" s="883">
        <f t="shared" si="4"/>
        <v>0</v>
      </c>
      <c r="J81" s="990">
        <v>0</v>
      </c>
      <c r="K81" s="915">
        <v>0</v>
      </c>
      <c r="L81" s="883">
        <f t="shared" si="5"/>
        <v>31</v>
      </c>
      <c r="M81" s="611">
        <v>31</v>
      </c>
      <c r="N81" s="883">
        <v>0</v>
      </c>
    </row>
    <row r="82" spans="1:14" s="266" customFormat="1" ht="12">
      <c r="A82" s="1167">
        <v>31</v>
      </c>
      <c r="B82" s="1169" t="s">
        <v>933</v>
      </c>
      <c r="C82" s="1182" t="s">
        <v>427</v>
      </c>
      <c r="D82" s="1173" t="s">
        <v>27</v>
      </c>
      <c r="E82" s="1173" t="s">
        <v>219</v>
      </c>
      <c r="F82" s="1178">
        <f>G82+H82</f>
        <v>0.7</v>
      </c>
      <c r="G82" s="1178">
        <v>0.7</v>
      </c>
      <c r="H82" s="1178">
        <v>0</v>
      </c>
      <c r="I82" s="644">
        <f t="shared" si="4"/>
        <v>0</v>
      </c>
      <c r="J82" s="645">
        <v>0</v>
      </c>
      <c r="K82" s="646">
        <v>0</v>
      </c>
      <c r="L82" s="644">
        <f t="shared" si="5"/>
        <v>0</v>
      </c>
      <c r="M82" s="648">
        <v>0</v>
      </c>
      <c r="N82" s="644">
        <v>0</v>
      </c>
    </row>
    <row r="83" spans="1:14" s="266" customFormat="1" ht="12.75" thickBot="1">
      <c r="A83" s="1168"/>
      <c r="B83" s="1170"/>
      <c r="C83" s="1183"/>
      <c r="D83" s="1174"/>
      <c r="E83" s="1174"/>
      <c r="F83" s="1179"/>
      <c r="G83" s="1179"/>
      <c r="H83" s="1179"/>
      <c r="I83" s="883">
        <f t="shared" si="4"/>
        <v>0</v>
      </c>
      <c r="J83" s="990">
        <v>0</v>
      </c>
      <c r="K83" s="915">
        <v>0</v>
      </c>
      <c r="L83" s="883">
        <f t="shared" si="5"/>
        <v>0</v>
      </c>
      <c r="M83" s="611">
        <v>0</v>
      </c>
      <c r="N83" s="883">
        <v>0</v>
      </c>
    </row>
    <row r="84" spans="1:14" s="266" customFormat="1" ht="12">
      <c r="A84" s="1167">
        <v>32</v>
      </c>
      <c r="B84" s="1169" t="s">
        <v>959</v>
      </c>
      <c r="C84" s="1182" t="s">
        <v>226</v>
      </c>
      <c r="D84" s="1173" t="s">
        <v>27</v>
      </c>
      <c r="E84" s="1173" t="s">
        <v>1389</v>
      </c>
      <c r="F84" s="1184">
        <f>G84+H84</f>
        <v>0.26</v>
      </c>
      <c r="G84" s="1184">
        <v>0.26</v>
      </c>
      <c r="H84" s="1178">
        <v>0</v>
      </c>
      <c r="I84" s="644">
        <f t="shared" si="4"/>
        <v>0</v>
      </c>
      <c r="J84" s="645">
        <v>0</v>
      </c>
      <c r="K84" s="646">
        <v>0</v>
      </c>
      <c r="L84" s="644">
        <f t="shared" si="5"/>
        <v>1</v>
      </c>
      <c r="M84" s="648">
        <v>0</v>
      </c>
      <c r="N84" s="644">
        <v>1</v>
      </c>
    </row>
    <row r="85" spans="1:14" s="266" customFormat="1" ht="12.75" thickBot="1">
      <c r="A85" s="1168"/>
      <c r="B85" s="1170"/>
      <c r="C85" s="1183"/>
      <c r="D85" s="1174"/>
      <c r="E85" s="1174"/>
      <c r="F85" s="1185"/>
      <c r="G85" s="1185"/>
      <c r="H85" s="1179"/>
      <c r="I85" s="883">
        <f t="shared" si="4"/>
        <v>0</v>
      </c>
      <c r="J85" s="990">
        <v>0</v>
      </c>
      <c r="K85" s="915">
        <v>0</v>
      </c>
      <c r="L85" s="883">
        <f t="shared" si="5"/>
        <v>12</v>
      </c>
      <c r="M85" s="611">
        <v>0</v>
      </c>
      <c r="N85" s="883">
        <v>12</v>
      </c>
    </row>
    <row r="86" spans="1:14" s="266" customFormat="1" ht="12">
      <c r="A86" s="1167">
        <v>33</v>
      </c>
      <c r="B86" s="1169" t="s">
        <v>1148</v>
      </c>
      <c r="C86" s="1182" t="s">
        <v>227</v>
      </c>
      <c r="D86" s="1173" t="s">
        <v>27</v>
      </c>
      <c r="E86" s="1173" t="s">
        <v>228</v>
      </c>
      <c r="F86" s="1178">
        <f>G86+H86</f>
        <v>10.3</v>
      </c>
      <c r="G86" s="1178">
        <v>10.3</v>
      </c>
      <c r="H86" s="1178">
        <v>0</v>
      </c>
      <c r="I86" s="644">
        <f aca="true" t="shared" si="6" ref="I86:I91">J86+K86</f>
        <v>1</v>
      </c>
      <c r="J86" s="645">
        <v>1</v>
      </c>
      <c r="K86" s="646">
        <v>0</v>
      </c>
      <c r="L86" s="644">
        <f aca="true" t="shared" si="7" ref="L86:L91">M86+N86</f>
        <v>1</v>
      </c>
      <c r="M86" s="648">
        <v>0</v>
      </c>
      <c r="N86" s="644">
        <v>1</v>
      </c>
    </row>
    <row r="87" spans="1:14" s="266" customFormat="1" ht="31.5" customHeight="1" thickBot="1">
      <c r="A87" s="1168"/>
      <c r="B87" s="1170"/>
      <c r="C87" s="1183"/>
      <c r="D87" s="1174"/>
      <c r="E87" s="1174"/>
      <c r="F87" s="1179"/>
      <c r="G87" s="1179"/>
      <c r="H87" s="1179"/>
      <c r="I87" s="885">
        <f t="shared" si="6"/>
        <v>35.85</v>
      </c>
      <c r="J87" s="650">
        <v>35.85</v>
      </c>
      <c r="K87" s="915">
        <v>0</v>
      </c>
      <c r="L87" s="883">
        <f t="shared" si="7"/>
        <v>12</v>
      </c>
      <c r="M87" s="611">
        <v>0</v>
      </c>
      <c r="N87" s="883">
        <v>12</v>
      </c>
    </row>
    <row r="88" spans="1:14" s="266" customFormat="1" ht="12">
      <c r="A88" s="1167">
        <v>34</v>
      </c>
      <c r="B88" s="1169" t="s">
        <v>1150</v>
      </c>
      <c r="C88" s="1182" t="s">
        <v>524</v>
      </c>
      <c r="D88" s="1173" t="s">
        <v>27</v>
      </c>
      <c r="E88" s="1173" t="s">
        <v>1401</v>
      </c>
      <c r="F88" s="1184">
        <f>G88+H88</f>
        <v>4.017</v>
      </c>
      <c r="G88" s="1184">
        <v>4.017</v>
      </c>
      <c r="H88" s="1178">
        <v>0</v>
      </c>
      <c r="I88" s="882">
        <f>J88+K88</f>
        <v>1</v>
      </c>
      <c r="J88" s="989">
        <v>0</v>
      </c>
      <c r="K88" s="913">
        <v>1</v>
      </c>
      <c r="L88" s="882">
        <v>1</v>
      </c>
      <c r="M88" s="719">
        <v>1</v>
      </c>
      <c r="N88" s="882">
        <v>0</v>
      </c>
    </row>
    <row r="89" spans="1:14" s="266" customFormat="1" ht="12.75" thickBot="1">
      <c r="A89" s="1168"/>
      <c r="B89" s="1170"/>
      <c r="C89" s="1183"/>
      <c r="D89" s="1174"/>
      <c r="E89" s="1174"/>
      <c r="F89" s="1185"/>
      <c r="G89" s="1185"/>
      <c r="H89" s="1179"/>
      <c r="I89" s="885">
        <f>J89+K89</f>
        <v>253.6</v>
      </c>
      <c r="J89" s="990">
        <v>0</v>
      </c>
      <c r="K89" s="968">
        <v>253.6</v>
      </c>
      <c r="L89" s="883">
        <v>15</v>
      </c>
      <c r="M89" s="611">
        <v>15</v>
      </c>
      <c r="N89" s="883">
        <v>0</v>
      </c>
    </row>
    <row r="90" spans="1:14" s="266" customFormat="1" ht="12.75" customHeight="1">
      <c r="A90" s="1167">
        <v>35</v>
      </c>
      <c r="B90" s="1169" t="s">
        <v>1149</v>
      </c>
      <c r="C90" s="1182" t="s">
        <v>597</v>
      </c>
      <c r="D90" s="1173" t="s">
        <v>102</v>
      </c>
      <c r="E90" s="1173" t="s">
        <v>667</v>
      </c>
      <c r="F90" s="1184">
        <f>G90+H90</f>
        <v>0.96</v>
      </c>
      <c r="G90" s="1184">
        <v>0.96</v>
      </c>
      <c r="H90" s="1178">
        <v>0</v>
      </c>
      <c r="I90" s="644">
        <f t="shared" si="6"/>
        <v>0</v>
      </c>
      <c r="J90" s="645"/>
      <c r="K90" s="646"/>
      <c r="L90" s="644">
        <f t="shared" si="7"/>
        <v>1</v>
      </c>
      <c r="M90" s="648">
        <v>1</v>
      </c>
      <c r="N90" s="644"/>
    </row>
    <row r="91" spans="1:14" s="266" customFormat="1" ht="12.75" thickBot="1">
      <c r="A91" s="1168"/>
      <c r="B91" s="1170"/>
      <c r="C91" s="1183"/>
      <c r="D91" s="1174"/>
      <c r="E91" s="1174"/>
      <c r="F91" s="1185"/>
      <c r="G91" s="1185"/>
      <c r="H91" s="1179"/>
      <c r="I91" s="883">
        <f t="shared" si="6"/>
        <v>0</v>
      </c>
      <c r="J91" s="990"/>
      <c r="K91" s="915"/>
      <c r="L91" s="883">
        <f t="shared" si="7"/>
        <v>12</v>
      </c>
      <c r="M91" s="611">
        <v>12</v>
      </c>
      <c r="N91" s="883"/>
    </row>
    <row r="92" spans="1:14" s="1" customFormat="1" ht="12.75" hidden="1" thickBot="1">
      <c r="A92" s="1624"/>
      <c r="B92" s="1581"/>
      <c r="C92" s="1577"/>
      <c r="D92" s="1577"/>
      <c r="E92" s="1577"/>
      <c r="F92" s="1590"/>
      <c r="G92" s="1590"/>
      <c r="H92" s="1590"/>
      <c r="I92" s="83"/>
      <c r="J92" s="84"/>
      <c r="K92" s="85"/>
      <c r="L92" s="83"/>
      <c r="M92" s="793"/>
      <c r="N92" s="83"/>
    </row>
    <row r="93" spans="1:14" s="1" customFormat="1" ht="12.75" hidden="1" thickBot="1">
      <c r="A93" s="1623"/>
      <c r="B93" s="1570"/>
      <c r="C93" s="1578"/>
      <c r="D93" s="1578"/>
      <c r="E93" s="1578"/>
      <c r="F93" s="1587"/>
      <c r="G93" s="1587"/>
      <c r="H93" s="1587"/>
      <c r="I93" s="639"/>
      <c r="J93" s="722"/>
      <c r="K93" s="723"/>
      <c r="L93" s="639"/>
      <c r="M93" s="1026"/>
      <c r="N93" s="639"/>
    </row>
    <row r="94" spans="1:14" s="1" customFormat="1" ht="12.75" hidden="1" thickBot="1">
      <c r="A94" s="1622"/>
      <c r="B94" s="1580"/>
      <c r="C94" s="1625"/>
      <c r="D94" s="1625"/>
      <c r="E94" s="1625"/>
      <c r="F94" s="1586"/>
      <c r="G94" s="1586"/>
      <c r="H94" s="1586"/>
      <c r="I94" s="80"/>
      <c r="J94" s="84"/>
      <c r="K94" s="85"/>
      <c r="L94" s="80"/>
      <c r="M94" s="793"/>
      <c r="N94" s="83"/>
    </row>
    <row r="95" spans="1:14" s="1" customFormat="1" ht="12.75" hidden="1" thickBot="1">
      <c r="A95" s="1623"/>
      <c r="B95" s="1570"/>
      <c r="C95" s="1578"/>
      <c r="D95" s="1578"/>
      <c r="E95" s="1578"/>
      <c r="F95" s="1587"/>
      <c r="G95" s="1587"/>
      <c r="H95" s="1587"/>
      <c r="I95" s="639"/>
      <c r="J95" s="1027"/>
      <c r="K95" s="1028"/>
      <c r="L95" s="639"/>
      <c r="M95" s="730"/>
      <c r="N95" s="720"/>
    </row>
    <row r="96" spans="1:14" s="2" customFormat="1" ht="12.75" hidden="1" thickBot="1">
      <c r="A96" s="1622"/>
      <c r="B96" s="1580"/>
      <c r="C96" s="1580"/>
      <c r="D96" s="1625"/>
      <c r="E96" s="1580"/>
      <c r="F96" s="1586"/>
      <c r="G96" s="1586"/>
      <c r="H96" s="1586"/>
      <c r="I96" s="1029"/>
      <c r="J96" s="1030"/>
      <c r="K96" s="1031"/>
      <c r="L96" s="1029"/>
      <c r="M96" s="1031"/>
      <c r="N96" s="1030"/>
    </row>
    <row r="97" spans="1:14" s="2" customFormat="1" ht="12.75" hidden="1" thickBot="1">
      <c r="A97" s="1623"/>
      <c r="B97" s="1570"/>
      <c r="C97" s="1570"/>
      <c r="D97" s="1578"/>
      <c r="E97" s="1570"/>
      <c r="F97" s="1587"/>
      <c r="G97" s="1587"/>
      <c r="H97" s="1587"/>
      <c r="I97" s="1032"/>
      <c r="J97" s="1032"/>
      <c r="K97" s="1033"/>
      <c r="L97" s="1032"/>
      <c r="M97" s="1033"/>
      <c r="N97" s="1032"/>
    </row>
    <row r="98" spans="1:14" ht="13.5" hidden="1" thickBot="1">
      <c r="A98" s="1622"/>
      <c r="B98" s="1580"/>
      <c r="C98" s="1625"/>
      <c r="D98" s="1625"/>
      <c r="E98" s="1625"/>
      <c r="F98" s="1586"/>
      <c r="G98" s="1586"/>
      <c r="H98" s="1586"/>
      <c r="I98" s="80"/>
      <c r="J98" s="81"/>
      <c r="K98" s="82"/>
      <c r="L98" s="80"/>
      <c r="M98" s="1034"/>
      <c r="N98" s="80"/>
    </row>
    <row r="99" spans="1:14" ht="13.5" hidden="1" thickBot="1">
      <c r="A99" s="1623"/>
      <c r="B99" s="1570"/>
      <c r="C99" s="1578"/>
      <c r="D99" s="1578"/>
      <c r="E99" s="1578"/>
      <c r="F99" s="1587"/>
      <c r="G99" s="1587"/>
      <c r="H99" s="1587"/>
      <c r="I99" s="639"/>
      <c r="J99" s="722"/>
      <c r="K99" s="1028"/>
      <c r="L99" s="639"/>
      <c r="M99" s="1026"/>
      <c r="N99" s="639"/>
    </row>
    <row r="100" spans="1:14" ht="13.5" hidden="1" thickBot="1">
      <c r="A100" s="1622"/>
      <c r="B100" s="1580"/>
      <c r="C100" s="1625"/>
      <c r="D100" s="1625"/>
      <c r="E100" s="1625"/>
      <c r="F100" s="1586"/>
      <c r="G100" s="1586"/>
      <c r="H100" s="1586"/>
      <c r="I100" s="80"/>
      <c r="J100" s="793"/>
      <c r="K100" s="80"/>
      <c r="L100" s="81"/>
      <c r="M100" s="1034"/>
      <c r="N100" s="80"/>
    </row>
    <row r="101" spans="1:14" ht="13.5" hidden="1" thickBot="1">
      <c r="A101" s="1623"/>
      <c r="B101" s="1570"/>
      <c r="C101" s="1578"/>
      <c r="D101" s="1578"/>
      <c r="E101" s="1578"/>
      <c r="F101" s="1587"/>
      <c r="G101" s="1587"/>
      <c r="H101" s="1587"/>
      <c r="I101" s="639"/>
      <c r="J101" s="730"/>
      <c r="K101" s="639"/>
      <c r="L101" s="722"/>
      <c r="M101" s="1026"/>
      <c r="N101" s="639"/>
    </row>
    <row r="102" spans="1:14" ht="13.5" hidden="1" thickBot="1">
      <c r="A102" s="1622"/>
      <c r="B102" s="1580"/>
      <c r="C102" s="1625"/>
      <c r="D102" s="1625"/>
      <c r="E102" s="1625"/>
      <c r="F102" s="1586"/>
      <c r="G102" s="1586"/>
      <c r="H102" s="1586"/>
      <c r="I102" s="80"/>
      <c r="J102" s="81"/>
      <c r="K102" s="85"/>
      <c r="L102" s="80"/>
      <c r="M102" s="1034"/>
      <c r="N102" s="80"/>
    </row>
    <row r="103" spans="1:14" ht="13.5" hidden="1" thickBot="1">
      <c r="A103" s="1623"/>
      <c r="B103" s="1570"/>
      <c r="C103" s="1578"/>
      <c r="D103" s="1578"/>
      <c r="E103" s="1578"/>
      <c r="F103" s="1587"/>
      <c r="G103" s="1587"/>
      <c r="H103" s="1587"/>
      <c r="I103" s="639"/>
      <c r="J103" s="722"/>
      <c r="K103" s="723"/>
      <c r="L103" s="639"/>
      <c r="M103" s="1026"/>
      <c r="N103" s="639"/>
    </row>
    <row r="104" spans="1:14" ht="13.5" hidden="1" thickBot="1">
      <c r="A104" s="1622"/>
      <c r="B104" s="1580"/>
      <c r="C104" s="1625"/>
      <c r="D104" s="1625"/>
      <c r="E104" s="1625"/>
      <c r="F104" s="1586"/>
      <c r="G104" s="1586"/>
      <c r="H104" s="1586"/>
      <c r="I104" s="80"/>
      <c r="J104" s="84"/>
      <c r="K104" s="85"/>
      <c r="L104" s="80"/>
      <c r="M104" s="793"/>
      <c r="N104" s="83"/>
    </row>
    <row r="105" spans="1:14" ht="13.5" hidden="1" thickBot="1">
      <c r="A105" s="1623"/>
      <c r="B105" s="1570"/>
      <c r="C105" s="1578"/>
      <c r="D105" s="1578"/>
      <c r="E105" s="1578"/>
      <c r="F105" s="1587"/>
      <c r="G105" s="1587"/>
      <c r="H105" s="1587"/>
      <c r="I105" s="639"/>
      <c r="J105" s="1027"/>
      <c r="K105" s="1028"/>
      <c r="L105" s="639"/>
      <c r="M105" s="730"/>
      <c r="N105" s="720"/>
    </row>
    <row r="106" spans="1:14" ht="13.5" hidden="1" thickBot="1">
      <c r="A106" s="1622"/>
      <c r="B106" s="1580"/>
      <c r="C106" s="1625"/>
      <c r="D106" s="1625"/>
      <c r="E106" s="1625"/>
      <c r="F106" s="1586"/>
      <c r="G106" s="1586"/>
      <c r="H106" s="1586"/>
      <c r="I106" s="80"/>
      <c r="J106" s="81"/>
      <c r="K106" s="82"/>
      <c r="L106" s="80"/>
      <c r="M106" s="1034"/>
      <c r="N106" s="80"/>
    </row>
    <row r="107" spans="1:14" ht="13.5" hidden="1" thickBot="1">
      <c r="A107" s="1623"/>
      <c r="B107" s="1570"/>
      <c r="C107" s="1578"/>
      <c r="D107" s="1578"/>
      <c r="E107" s="1578"/>
      <c r="F107" s="1587"/>
      <c r="G107" s="1587"/>
      <c r="H107" s="1587"/>
      <c r="I107" s="639"/>
      <c r="J107" s="722"/>
      <c r="K107" s="723"/>
      <c r="L107" s="639"/>
      <c r="M107" s="1026"/>
      <c r="N107" s="639"/>
    </row>
    <row r="108" spans="1:14" ht="13.5" hidden="1" thickBot="1">
      <c r="A108" s="1622"/>
      <c r="B108" s="1580"/>
      <c r="C108" s="1625"/>
      <c r="D108" s="1625"/>
      <c r="E108" s="1625"/>
      <c r="F108" s="1586"/>
      <c r="G108" s="1586"/>
      <c r="H108" s="1586"/>
      <c r="I108" s="80"/>
      <c r="J108" s="84"/>
      <c r="K108" s="85"/>
      <c r="L108" s="80"/>
      <c r="M108" s="793"/>
      <c r="N108" s="83"/>
    </row>
    <row r="109" spans="1:14" ht="13.5" hidden="1" thickBot="1">
      <c r="A109" s="1623"/>
      <c r="B109" s="1570"/>
      <c r="C109" s="1578"/>
      <c r="D109" s="1578"/>
      <c r="E109" s="1578"/>
      <c r="F109" s="1587"/>
      <c r="G109" s="1587"/>
      <c r="H109" s="1587"/>
      <c r="I109" s="639"/>
      <c r="J109" s="1027"/>
      <c r="K109" s="1028"/>
      <c r="L109" s="639"/>
      <c r="M109" s="730"/>
      <c r="N109" s="720"/>
    </row>
    <row r="110" spans="1:14" ht="13.5" hidden="1" thickBot="1">
      <c r="A110" s="1622"/>
      <c r="B110" s="1580"/>
      <c r="C110" s="1625"/>
      <c r="D110" s="1625"/>
      <c r="E110" s="1625"/>
      <c r="F110" s="1586"/>
      <c r="G110" s="1586"/>
      <c r="H110" s="1586"/>
      <c r="I110" s="80"/>
      <c r="J110" s="81"/>
      <c r="K110" s="82"/>
      <c r="L110" s="80"/>
      <c r="M110" s="1034"/>
      <c r="N110" s="80"/>
    </row>
    <row r="111" spans="1:14" ht="13.5" hidden="1" thickBot="1">
      <c r="A111" s="1623"/>
      <c r="B111" s="1570"/>
      <c r="C111" s="1578"/>
      <c r="D111" s="1578"/>
      <c r="E111" s="1578"/>
      <c r="F111" s="1587"/>
      <c r="G111" s="1587"/>
      <c r="H111" s="1587"/>
      <c r="I111" s="639"/>
      <c r="J111" s="722"/>
      <c r="K111" s="723"/>
      <c r="L111" s="639"/>
      <c r="M111" s="1026"/>
      <c r="N111" s="639"/>
    </row>
    <row r="112" spans="1:14" ht="13.5" hidden="1" thickBot="1">
      <c r="A112" s="1622"/>
      <c r="B112" s="1580"/>
      <c r="C112" s="1625"/>
      <c r="D112" s="1625"/>
      <c r="E112" s="1625"/>
      <c r="F112" s="1586"/>
      <c r="G112" s="1586"/>
      <c r="H112" s="1586"/>
      <c r="I112" s="80"/>
      <c r="J112" s="84"/>
      <c r="K112" s="85"/>
      <c r="L112" s="80"/>
      <c r="M112" s="793"/>
      <c r="N112" s="83"/>
    </row>
    <row r="113" spans="1:14" ht="13.5" hidden="1" thickBot="1">
      <c r="A113" s="1623"/>
      <c r="B113" s="1570"/>
      <c r="C113" s="1578"/>
      <c r="D113" s="1578"/>
      <c r="E113" s="1578"/>
      <c r="F113" s="1587"/>
      <c r="G113" s="1587"/>
      <c r="H113" s="1587"/>
      <c r="I113" s="639"/>
      <c r="J113" s="1027"/>
      <c r="K113" s="1028"/>
      <c r="L113" s="639"/>
      <c r="M113" s="730"/>
      <c r="N113" s="720"/>
    </row>
    <row r="114" spans="1:14" ht="13.5" hidden="1" thickBot="1">
      <c r="A114" s="1622"/>
      <c r="B114" s="1580"/>
      <c r="C114" s="1625"/>
      <c r="D114" s="1625"/>
      <c r="E114" s="1625"/>
      <c r="F114" s="1586"/>
      <c r="G114" s="1586"/>
      <c r="H114" s="1586"/>
      <c r="I114" s="80"/>
      <c r="J114" s="81"/>
      <c r="K114" s="82"/>
      <c r="L114" s="80"/>
      <c r="M114" s="1034"/>
      <c r="N114" s="80"/>
    </row>
    <row r="115" spans="1:14" ht="13.5" hidden="1" thickBot="1">
      <c r="A115" s="1623"/>
      <c r="B115" s="1570"/>
      <c r="C115" s="1578"/>
      <c r="D115" s="1578"/>
      <c r="E115" s="1578"/>
      <c r="F115" s="1587"/>
      <c r="G115" s="1587"/>
      <c r="H115" s="1587"/>
      <c r="I115" s="639"/>
      <c r="J115" s="722"/>
      <c r="K115" s="723"/>
      <c r="L115" s="639"/>
      <c r="M115" s="1026"/>
      <c r="N115" s="639"/>
    </row>
    <row r="116" spans="1:14" ht="13.5" hidden="1" thickBot="1">
      <c r="A116" s="1622"/>
      <c r="B116" s="1580"/>
      <c r="C116" s="1625"/>
      <c r="D116" s="1625"/>
      <c r="E116" s="1625"/>
      <c r="F116" s="1586"/>
      <c r="G116" s="1586"/>
      <c r="H116" s="1586"/>
      <c r="I116" s="80"/>
      <c r="J116" s="81"/>
      <c r="K116" s="82"/>
      <c r="L116" s="80"/>
      <c r="M116" s="1034"/>
      <c r="N116" s="80"/>
    </row>
    <row r="117" spans="1:14" ht="13.5" hidden="1" thickBot="1">
      <c r="A117" s="1623"/>
      <c r="B117" s="1570"/>
      <c r="C117" s="1578"/>
      <c r="D117" s="1578"/>
      <c r="E117" s="1578"/>
      <c r="F117" s="1587"/>
      <c r="G117" s="1587"/>
      <c r="H117" s="1587"/>
      <c r="I117" s="639"/>
      <c r="J117" s="722"/>
      <c r="K117" s="723"/>
      <c r="L117" s="639"/>
      <c r="M117" s="1026"/>
      <c r="N117" s="639"/>
    </row>
    <row r="118" spans="1:14" ht="13.5" hidden="1" thickBot="1">
      <c r="A118" s="1622"/>
      <c r="B118" s="1580"/>
      <c r="C118" s="1625"/>
      <c r="D118" s="1625"/>
      <c r="E118" s="1625"/>
      <c r="F118" s="1586"/>
      <c r="G118" s="1586"/>
      <c r="H118" s="1586"/>
      <c r="I118" s="80"/>
      <c r="J118" s="81"/>
      <c r="K118" s="82"/>
      <c r="L118" s="80"/>
      <c r="M118" s="1034"/>
      <c r="N118" s="80"/>
    </row>
    <row r="119" spans="1:14" ht="13.5" hidden="1" thickBot="1">
      <c r="A119" s="1623"/>
      <c r="B119" s="1570"/>
      <c r="C119" s="1578"/>
      <c r="D119" s="1578"/>
      <c r="E119" s="1578"/>
      <c r="F119" s="1587"/>
      <c r="G119" s="1587"/>
      <c r="H119" s="1587"/>
      <c r="I119" s="639"/>
      <c r="J119" s="722"/>
      <c r="K119" s="723"/>
      <c r="L119" s="639"/>
      <c r="M119" s="1026"/>
      <c r="N119" s="639"/>
    </row>
    <row r="120" spans="1:14" ht="13.5" hidden="1" thickBot="1">
      <c r="A120" s="1622"/>
      <c r="B120" s="1580"/>
      <c r="C120" s="1625"/>
      <c r="D120" s="1625"/>
      <c r="E120" s="1625"/>
      <c r="F120" s="1586"/>
      <c r="G120" s="1586"/>
      <c r="H120" s="1586"/>
      <c r="I120" s="80"/>
      <c r="J120" s="81"/>
      <c r="K120" s="82"/>
      <c r="L120" s="80"/>
      <c r="M120" s="1034"/>
      <c r="N120" s="80"/>
    </row>
    <row r="121" spans="1:14" ht="13.5" hidden="1" thickBot="1">
      <c r="A121" s="1623"/>
      <c r="B121" s="1570"/>
      <c r="C121" s="1578"/>
      <c r="D121" s="1578"/>
      <c r="E121" s="1578"/>
      <c r="F121" s="1587"/>
      <c r="G121" s="1587"/>
      <c r="H121" s="1587"/>
      <c r="I121" s="639"/>
      <c r="J121" s="722"/>
      <c r="K121" s="723"/>
      <c r="L121" s="639"/>
      <c r="M121" s="1026"/>
      <c r="N121" s="639"/>
    </row>
    <row r="122" spans="1:14" ht="13.5" hidden="1" thickBot="1">
      <c r="A122" s="1622"/>
      <c r="B122" s="1580"/>
      <c r="C122" s="1625"/>
      <c r="D122" s="1625"/>
      <c r="E122" s="1625"/>
      <c r="F122" s="1586"/>
      <c r="G122" s="1586"/>
      <c r="H122" s="1586"/>
      <c r="I122" s="80"/>
      <c r="J122" s="81"/>
      <c r="K122" s="82"/>
      <c r="L122" s="80"/>
      <c r="M122" s="1034"/>
      <c r="N122" s="80"/>
    </row>
    <row r="123" spans="1:14" ht="13.5" hidden="1" thickBot="1">
      <c r="A123" s="1623"/>
      <c r="B123" s="1570"/>
      <c r="C123" s="1578"/>
      <c r="D123" s="1578"/>
      <c r="E123" s="1578"/>
      <c r="F123" s="1587"/>
      <c r="G123" s="1587"/>
      <c r="H123" s="1587"/>
      <c r="I123" s="639"/>
      <c r="J123" s="722"/>
      <c r="K123" s="723"/>
      <c r="L123" s="639"/>
      <c r="M123" s="1026"/>
      <c r="N123" s="639"/>
    </row>
    <row r="124" spans="1:14" ht="13.5" hidden="1" thickBot="1">
      <c r="A124" s="1622"/>
      <c r="B124" s="1580"/>
      <c r="C124" s="1625"/>
      <c r="D124" s="1625"/>
      <c r="E124" s="1625"/>
      <c r="F124" s="1586"/>
      <c r="G124" s="1586"/>
      <c r="H124" s="1586"/>
      <c r="I124" s="80"/>
      <c r="J124" s="81"/>
      <c r="K124" s="82"/>
      <c r="L124" s="80"/>
      <c r="M124" s="1034"/>
      <c r="N124" s="80"/>
    </row>
    <row r="125" spans="1:14" ht="13.5" hidden="1" thickBot="1">
      <c r="A125" s="1623"/>
      <c r="B125" s="1570"/>
      <c r="C125" s="1578"/>
      <c r="D125" s="1578"/>
      <c r="E125" s="1578"/>
      <c r="F125" s="1587"/>
      <c r="G125" s="1587"/>
      <c r="H125" s="1587"/>
      <c r="I125" s="639"/>
      <c r="J125" s="722"/>
      <c r="K125" s="723"/>
      <c r="L125" s="639"/>
      <c r="M125" s="1026"/>
      <c r="N125" s="639"/>
    </row>
    <row r="126" spans="1:14" ht="13.5" hidden="1" thickBot="1">
      <c r="A126" s="1622"/>
      <c r="B126" s="1580"/>
      <c r="C126" s="1625"/>
      <c r="D126" s="1625"/>
      <c r="E126" s="1625"/>
      <c r="F126" s="1586"/>
      <c r="G126" s="1586"/>
      <c r="H126" s="1586"/>
      <c r="I126" s="80"/>
      <c r="J126" s="81"/>
      <c r="K126" s="82"/>
      <c r="L126" s="80"/>
      <c r="M126" s="1034"/>
      <c r="N126" s="80"/>
    </row>
    <row r="127" spans="1:14" ht="13.5" hidden="1" thickBot="1">
      <c r="A127" s="1623"/>
      <c r="B127" s="1570"/>
      <c r="C127" s="1578"/>
      <c r="D127" s="1578"/>
      <c r="E127" s="1578"/>
      <c r="F127" s="1587"/>
      <c r="G127" s="1587"/>
      <c r="H127" s="1587"/>
      <c r="I127" s="639"/>
      <c r="J127" s="722"/>
      <c r="K127" s="723"/>
      <c r="L127" s="639"/>
      <c r="M127" s="1026"/>
      <c r="N127" s="639"/>
    </row>
    <row r="128" spans="1:14" ht="13.5" hidden="1" thickBot="1">
      <c r="A128" s="1622"/>
      <c r="B128" s="1580"/>
      <c r="C128" s="1625"/>
      <c r="D128" s="1625"/>
      <c r="E128" s="1625"/>
      <c r="F128" s="1586"/>
      <c r="G128" s="1586"/>
      <c r="H128" s="1586"/>
      <c r="I128" s="83"/>
      <c r="J128" s="84"/>
      <c r="K128" s="85"/>
      <c r="L128" s="83"/>
      <c r="M128" s="793"/>
      <c r="N128" s="83"/>
    </row>
    <row r="129" spans="1:14" ht="13.5" hidden="1" thickBot="1">
      <c r="A129" s="1623"/>
      <c r="B129" s="1570"/>
      <c r="C129" s="1578"/>
      <c r="D129" s="1578"/>
      <c r="E129" s="1578"/>
      <c r="F129" s="1587"/>
      <c r="G129" s="1587"/>
      <c r="H129" s="1587"/>
      <c r="I129" s="720"/>
      <c r="J129" s="1027"/>
      <c r="K129" s="1028"/>
      <c r="L129" s="720"/>
      <c r="M129" s="730"/>
      <c r="N129" s="720"/>
    </row>
    <row r="130" spans="1:14" ht="13.5" hidden="1" thickBot="1">
      <c r="A130" s="1622"/>
      <c r="B130" s="1580"/>
      <c r="C130" s="1625"/>
      <c r="D130" s="1625"/>
      <c r="E130" s="1625"/>
      <c r="F130" s="1586"/>
      <c r="G130" s="1586"/>
      <c r="H130" s="1586"/>
      <c r="I130" s="80"/>
      <c r="J130" s="80"/>
      <c r="K130" s="80"/>
      <c r="L130" s="80"/>
      <c r="M130" s="82"/>
      <c r="N130" s="80"/>
    </row>
    <row r="131" spans="1:14" ht="13.5" hidden="1" thickBot="1">
      <c r="A131" s="1623"/>
      <c r="B131" s="1570"/>
      <c r="C131" s="1578"/>
      <c r="D131" s="1578"/>
      <c r="E131" s="1578"/>
      <c r="F131" s="1587"/>
      <c r="G131" s="1587"/>
      <c r="H131" s="1587"/>
      <c r="I131" s="639"/>
      <c r="J131" s="639"/>
      <c r="K131" s="639"/>
      <c r="L131" s="639"/>
      <c r="M131" s="723"/>
      <c r="N131" s="639"/>
    </row>
    <row r="132" spans="1:14" ht="13.5" hidden="1" thickBot="1">
      <c r="A132" s="1622"/>
      <c r="B132" s="1580"/>
      <c r="C132" s="1625"/>
      <c r="D132" s="1625"/>
      <c r="E132" s="1625"/>
      <c r="F132" s="1586"/>
      <c r="G132" s="1586"/>
      <c r="H132" s="1586"/>
      <c r="I132" s="80"/>
      <c r="J132" s="81"/>
      <c r="K132" s="82"/>
      <c r="L132" s="80"/>
      <c r="M132" s="1034"/>
      <c r="N132" s="80"/>
    </row>
    <row r="133" spans="1:14" ht="13.5" hidden="1" thickBot="1">
      <c r="A133" s="1623"/>
      <c r="B133" s="1570"/>
      <c r="C133" s="1578"/>
      <c r="D133" s="1578"/>
      <c r="E133" s="1578"/>
      <c r="F133" s="1587"/>
      <c r="G133" s="1587"/>
      <c r="H133" s="1587"/>
      <c r="I133" s="639"/>
      <c r="J133" s="722"/>
      <c r="K133" s="723"/>
      <c r="L133" s="639"/>
      <c r="M133" s="1026"/>
      <c r="N133" s="639"/>
    </row>
    <row r="134" spans="1:14" ht="13.5" hidden="1" thickBot="1">
      <c r="A134" s="1622"/>
      <c r="B134" s="1580"/>
      <c r="C134" s="1625"/>
      <c r="D134" s="1625"/>
      <c r="E134" s="1625"/>
      <c r="F134" s="1586"/>
      <c r="G134" s="1586"/>
      <c r="H134" s="1586"/>
      <c r="I134" s="638"/>
      <c r="J134" s="1035"/>
      <c r="K134" s="1036"/>
      <c r="L134" s="638"/>
      <c r="M134" s="1037"/>
      <c r="N134" s="638"/>
    </row>
    <row r="135" spans="1:14" ht="13.5" hidden="1" thickBot="1">
      <c r="A135" s="1624"/>
      <c r="B135" s="1581"/>
      <c r="C135" s="1577"/>
      <c r="D135" s="1577"/>
      <c r="E135" s="1577"/>
      <c r="F135" s="1590"/>
      <c r="G135" s="1590"/>
      <c r="H135" s="1590"/>
      <c r="I135" s="720"/>
      <c r="J135" s="1027"/>
      <c r="K135" s="1028"/>
      <c r="L135" s="720"/>
      <c r="M135" s="730"/>
      <c r="N135" s="720"/>
    </row>
    <row r="136" spans="1:14" s="266" customFormat="1" ht="12">
      <c r="A136" s="1228">
        <v>36</v>
      </c>
      <c r="B136" s="1436" t="s">
        <v>1276</v>
      </c>
      <c r="C136" s="1191" t="s">
        <v>1246</v>
      </c>
      <c r="D136" s="1199" t="s">
        <v>450</v>
      </c>
      <c r="E136" s="1199" t="s">
        <v>1329</v>
      </c>
      <c r="F136" s="1186">
        <f>G136+H136</f>
        <v>25.49</v>
      </c>
      <c r="G136" s="1186">
        <v>25.49</v>
      </c>
      <c r="H136" s="1455">
        <v>0</v>
      </c>
      <c r="I136" s="502">
        <f>J136+K136</f>
        <v>5</v>
      </c>
      <c r="J136" s="503">
        <v>5</v>
      </c>
      <c r="K136" s="506"/>
      <c r="L136" s="502">
        <f>M136+N136</f>
        <v>24</v>
      </c>
      <c r="M136" s="506">
        <v>22</v>
      </c>
      <c r="N136" s="502">
        <v>2</v>
      </c>
    </row>
    <row r="137" spans="1:14" s="266" customFormat="1" ht="12.75" customHeight="1">
      <c r="A137" s="1339"/>
      <c r="B137" s="1374"/>
      <c r="C137" s="1609"/>
      <c r="D137" s="1338"/>
      <c r="E137" s="1338"/>
      <c r="F137" s="1350"/>
      <c r="G137" s="1350"/>
      <c r="H137" s="1456"/>
      <c r="I137" s="927">
        <f>J137+K137</f>
        <v>103.32</v>
      </c>
      <c r="J137" s="525">
        <v>103.32</v>
      </c>
      <c r="K137" s="512"/>
      <c r="L137" s="927">
        <f>M137+N137</f>
        <v>1326</v>
      </c>
      <c r="M137" s="512">
        <v>1205</v>
      </c>
      <c r="N137" s="927">
        <v>121</v>
      </c>
    </row>
    <row r="138" spans="1:14" s="293" customFormat="1" ht="12.75" customHeight="1">
      <c r="A138" s="1339"/>
      <c r="B138" s="523"/>
      <c r="C138" s="560" t="s">
        <v>449</v>
      </c>
      <c r="D138" s="561" t="s">
        <v>657</v>
      </c>
      <c r="E138" s="561"/>
      <c r="F138" s="543">
        <v>25.49</v>
      </c>
      <c r="G138" s="543"/>
      <c r="H138" s="562"/>
      <c r="I138" s="531"/>
      <c r="J138" s="531"/>
      <c r="K138" s="531"/>
      <c r="L138" s="531"/>
      <c r="M138" s="531"/>
      <c r="N138" s="531"/>
    </row>
    <row r="139" spans="1:14" s="266" customFormat="1" ht="12.75" customHeight="1">
      <c r="A139" s="1339"/>
      <c r="B139" s="1372"/>
      <c r="C139" s="1378" t="s">
        <v>1247</v>
      </c>
      <c r="D139" s="1384" t="s">
        <v>620</v>
      </c>
      <c r="E139" s="1384" t="s">
        <v>1248</v>
      </c>
      <c r="F139" s="1371">
        <f>G139+H139</f>
        <v>6.823</v>
      </c>
      <c r="G139" s="1371">
        <f>G141+G142+G143</f>
        <v>6.823</v>
      </c>
      <c r="H139" s="1377">
        <v>0</v>
      </c>
      <c r="I139" s="547">
        <f>J139+K139</f>
        <v>4</v>
      </c>
      <c r="J139" s="510">
        <v>3</v>
      </c>
      <c r="K139" s="557">
        <v>1</v>
      </c>
      <c r="L139" s="557">
        <f>M139+N139</f>
        <v>2</v>
      </c>
      <c r="M139" s="557">
        <v>2</v>
      </c>
      <c r="N139" s="547">
        <v>0</v>
      </c>
    </row>
    <row r="140" spans="1:14" s="266" customFormat="1" ht="41.25" customHeight="1">
      <c r="A140" s="1339"/>
      <c r="B140" s="1369"/>
      <c r="C140" s="1609"/>
      <c r="D140" s="1338"/>
      <c r="E140" s="1338"/>
      <c r="F140" s="1350"/>
      <c r="G140" s="1350"/>
      <c r="H140" s="1345"/>
      <c r="I140" s="927">
        <f>J140+K140</f>
        <v>272.21</v>
      </c>
      <c r="J140" s="508">
        <f>169.7+5.6</f>
        <v>175.29999999999998</v>
      </c>
      <c r="K140" s="923">
        <v>96.91</v>
      </c>
      <c r="L140" s="923">
        <f>M140+N140</f>
        <v>43</v>
      </c>
      <c r="M140" s="930">
        <v>43</v>
      </c>
      <c r="N140" s="927">
        <v>0</v>
      </c>
    </row>
    <row r="141" spans="1:14" s="266" customFormat="1" ht="12.75" customHeight="1">
      <c r="A141" s="1339"/>
      <c r="B141" s="1369"/>
      <c r="C141" s="917" t="s">
        <v>449</v>
      </c>
      <c r="D141" s="934" t="s">
        <v>100</v>
      </c>
      <c r="E141" s="934"/>
      <c r="F141" s="933">
        <f>G141+H141</f>
        <v>3.591</v>
      </c>
      <c r="G141" s="933">
        <v>3.591</v>
      </c>
      <c r="H141" s="935"/>
      <c r="I141" s="928"/>
      <c r="J141" s="928"/>
      <c r="K141" s="928"/>
      <c r="L141" s="928"/>
      <c r="M141" s="929"/>
      <c r="N141" s="928"/>
    </row>
    <row r="142" spans="1:14" s="266" customFormat="1" ht="12.75" customHeight="1">
      <c r="A142" s="1339"/>
      <c r="B142" s="1369"/>
      <c r="C142" s="917"/>
      <c r="D142" s="934" t="s">
        <v>102</v>
      </c>
      <c r="E142" s="934"/>
      <c r="F142" s="933">
        <f>G142+H142</f>
        <v>2.894</v>
      </c>
      <c r="G142" s="933">
        <v>2.894</v>
      </c>
      <c r="H142" s="935"/>
      <c r="I142" s="927"/>
      <c r="J142" s="927"/>
      <c r="K142" s="927"/>
      <c r="L142" s="927"/>
      <c r="M142" s="923"/>
      <c r="N142" s="927"/>
    </row>
    <row r="143" spans="1:14" s="266" customFormat="1" ht="13.5" customHeight="1" thickBot="1">
      <c r="A143" s="1229"/>
      <c r="B143" s="1190"/>
      <c r="C143" s="892"/>
      <c r="D143" s="515" t="s">
        <v>27</v>
      </c>
      <c r="E143" s="515"/>
      <c r="F143" s="516">
        <f>G143+H143</f>
        <v>0.338</v>
      </c>
      <c r="G143" s="516">
        <v>0.338</v>
      </c>
      <c r="H143" s="559"/>
      <c r="I143" s="891"/>
      <c r="J143" s="891"/>
      <c r="K143" s="891"/>
      <c r="L143" s="891"/>
      <c r="M143" s="924"/>
      <c r="N143" s="891"/>
    </row>
    <row r="144" spans="1:14" s="2" customFormat="1" ht="15" customHeight="1">
      <c r="A144" s="1553"/>
      <c r="B144" s="323"/>
      <c r="C144" s="1594" t="s">
        <v>141</v>
      </c>
      <c r="D144" s="1628"/>
      <c r="E144" s="1630"/>
      <c r="F144" s="1626">
        <f aca="true" t="shared" si="8" ref="F144:N144">F8+F12+F16+F18+F20+F22+F24+F29+F31+F33+F38+F40+F42+F44+F46+F48+F50+F52+F54+F56+F58+F60+F62+F64+F66+F68+F70+F72+F74+F76+F78+F80+F82+F84+F86+F88+F90+F136+F139</f>
        <v>518.6469999999999</v>
      </c>
      <c r="G144" s="1626">
        <f t="shared" si="8"/>
        <v>458.48099999999994</v>
      </c>
      <c r="H144" s="1632">
        <f t="shared" si="8"/>
        <v>60.166</v>
      </c>
      <c r="I144" s="795">
        <f t="shared" si="8"/>
        <v>67</v>
      </c>
      <c r="J144" s="795">
        <f t="shared" si="8"/>
        <v>57</v>
      </c>
      <c r="K144" s="795">
        <f t="shared" si="8"/>
        <v>10</v>
      </c>
      <c r="L144" s="795">
        <f t="shared" si="8"/>
        <v>460</v>
      </c>
      <c r="M144" s="795">
        <f t="shared" si="8"/>
        <v>389</v>
      </c>
      <c r="N144" s="795">
        <f t="shared" si="8"/>
        <v>71</v>
      </c>
    </row>
    <row r="145" spans="1:14" s="2" customFormat="1" ht="12.75" thickBot="1">
      <c r="A145" s="1554"/>
      <c r="B145" s="164"/>
      <c r="C145" s="1595"/>
      <c r="D145" s="1629"/>
      <c r="E145" s="1631"/>
      <c r="F145" s="1627"/>
      <c r="G145" s="1627"/>
      <c r="H145" s="1633"/>
      <c r="I145" s="187">
        <f aca="true" t="shared" si="9" ref="I145:N145">I9+I13+I17+I19+I21+I23+I25+I30+I32+I34+I39+I41+I43+I45+I47+I49+I51+I53+I55+I57+I59+I61+I63+I65+I67+I69+I71+I73+I75+I77+I79+I81+I83+I85+I87+I89+I91+I137+I140</f>
        <v>3790.67</v>
      </c>
      <c r="J145" s="187">
        <f t="shared" si="9"/>
        <v>2536.8700000000003</v>
      </c>
      <c r="K145" s="187">
        <f t="shared" si="9"/>
        <v>1253.8000000000002</v>
      </c>
      <c r="L145" s="255">
        <f t="shared" si="9"/>
        <v>10196</v>
      </c>
      <c r="M145" s="255">
        <f t="shared" si="9"/>
        <v>9257</v>
      </c>
      <c r="N145" s="255">
        <f t="shared" si="9"/>
        <v>939</v>
      </c>
    </row>
    <row r="146" spans="1:8" ht="12.75">
      <c r="A146" s="151"/>
      <c r="B146" s="153"/>
      <c r="C146" s="1150" t="s">
        <v>454</v>
      </c>
      <c r="D146" s="177" t="s">
        <v>450</v>
      </c>
      <c r="E146" s="178"/>
      <c r="F146" s="179">
        <f>SUMIF($D$8:$D$143,"=I",F8:F143)</f>
        <v>25.49</v>
      </c>
      <c r="G146" s="179">
        <f>SUMIF($D$8:$D$143,"=I",G8:G143)</f>
        <v>25.49</v>
      </c>
      <c r="H146" s="179">
        <f>SUMIF($D$8:$D$143,"=I",H8:H143)</f>
        <v>0</v>
      </c>
    </row>
    <row r="147" spans="1:8" ht="12.75">
      <c r="A147" s="151"/>
      <c r="B147" s="153"/>
      <c r="C147" s="1151"/>
      <c r="D147" s="65" t="s">
        <v>100</v>
      </c>
      <c r="E147" s="66"/>
      <c r="F147" s="97">
        <f>SUMIF($D$8:$D$143,"=II",F8:F143)</f>
        <v>65.941</v>
      </c>
      <c r="G147" s="97">
        <f>SUMIF($D$8:$D$143,"=II",G8:G143)</f>
        <v>65.941</v>
      </c>
      <c r="H147" s="97">
        <f>SUMIF($D$8:$D$143,"=II",H8:H143)</f>
        <v>0</v>
      </c>
    </row>
    <row r="148" spans="1:8" ht="12.75">
      <c r="A148" s="151"/>
      <c r="B148" s="153"/>
      <c r="C148" s="1151"/>
      <c r="D148" s="62" t="s">
        <v>102</v>
      </c>
      <c r="E148" s="66"/>
      <c r="F148" s="97">
        <f>SUMIF($D$8:$D$143,"=III",F8:F143)</f>
        <v>166.75600000000003</v>
      </c>
      <c r="G148" s="97">
        <f>SUMIF($D$8:$D$143,"=III",G8:G143)</f>
        <v>166.75600000000003</v>
      </c>
      <c r="H148" s="97">
        <f>SUMIF($D$8:$D$143,"=III",H8:H143)</f>
        <v>0</v>
      </c>
    </row>
    <row r="149" spans="1:8" ht="12.75">
      <c r="A149" s="152"/>
      <c r="B149" s="154"/>
      <c r="C149" s="1151"/>
      <c r="D149" s="66" t="s">
        <v>27</v>
      </c>
      <c r="E149" s="72"/>
      <c r="F149" s="97">
        <f>SUMIF($D$8:$D$143,"=IV",F8:F143)</f>
        <v>260.46</v>
      </c>
      <c r="G149" s="97">
        <f>SUMIF($D$8:$D$143,"=IV",G8:G143)</f>
        <v>200.29399999999995</v>
      </c>
      <c r="H149" s="97">
        <f>SUMIF($D$8:$D$143,"=IV",H8:H143)</f>
        <v>60.166</v>
      </c>
    </row>
    <row r="150" spans="3:8" ht="0.75" customHeight="1">
      <c r="C150" s="1151"/>
      <c r="D150" s="66" t="s">
        <v>49</v>
      </c>
      <c r="E150" s="71"/>
      <c r="F150" s="71">
        <f>SUMIF($D$18:$D$133,"=V",F18:F133)</f>
        <v>0</v>
      </c>
      <c r="G150" s="71">
        <f>SUMIF($D$18:$D$133,"=V",G18:G133)</f>
        <v>0</v>
      </c>
      <c r="H150" s="71">
        <f>SUMIF($D$18:$D$133,"=V",H18:H133)</f>
        <v>0</v>
      </c>
    </row>
    <row r="151" spans="3:8" ht="12.75">
      <c r="C151" s="7"/>
      <c r="D151" s="7"/>
      <c r="F151" s="52"/>
      <c r="G151" s="52"/>
      <c r="H151" s="52"/>
    </row>
    <row r="152" spans="3:9" ht="12.75">
      <c r="C152" s="7"/>
      <c r="D152" s="7"/>
      <c r="G152" s="45"/>
      <c r="I152" t="s">
        <v>274</v>
      </c>
    </row>
    <row r="153" spans="3:4" ht="12.75">
      <c r="C153" s="7"/>
      <c r="D153" s="7"/>
    </row>
    <row r="154" ht="12.75">
      <c r="J154" s="46"/>
    </row>
    <row r="155" spans="6:10" ht="12.75">
      <c r="F155" s="188"/>
      <c r="J155" s="46"/>
    </row>
    <row r="157" ht="12.75">
      <c r="K157" s="189"/>
    </row>
    <row r="162" ht="12.75">
      <c r="D162" t="s">
        <v>274</v>
      </c>
    </row>
  </sheetData>
  <sheetProtection/>
  <mergeCells count="506">
    <mergeCell ref="H88:H89"/>
    <mergeCell ref="H120:H121"/>
    <mergeCell ref="H100:H101"/>
    <mergeCell ref="H112:H113"/>
    <mergeCell ref="H70:H71"/>
    <mergeCell ref="H84:H85"/>
    <mergeCell ref="H110:H111"/>
    <mergeCell ref="H94:H95"/>
    <mergeCell ref="H116:H117"/>
    <mergeCell ref="H96:H97"/>
    <mergeCell ref="H130:H131"/>
    <mergeCell ref="H108:H109"/>
    <mergeCell ref="H98:H99"/>
    <mergeCell ref="H102:H103"/>
    <mergeCell ref="H106:H107"/>
    <mergeCell ref="H124:H125"/>
    <mergeCell ref="H128:H129"/>
    <mergeCell ref="H126:H127"/>
    <mergeCell ref="H114:H115"/>
    <mergeCell ref="H118:H119"/>
    <mergeCell ref="F124:F125"/>
    <mergeCell ref="E102:E103"/>
    <mergeCell ref="E120:E121"/>
    <mergeCell ref="E124:E125"/>
    <mergeCell ref="E116:E117"/>
    <mergeCell ref="E122:E123"/>
    <mergeCell ref="E118:E119"/>
    <mergeCell ref="E110:E111"/>
    <mergeCell ref="E106:E107"/>
    <mergeCell ref="F118:F119"/>
    <mergeCell ref="E90:E91"/>
    <mergeCell ref="F90:F91"/>
    <mergeCell ref="F92:F93"/>
    <mergeCell ref="F94:F95"/>
    <mergeCell ref="E94:E95"/>
    <mergeCell ref="F116:F117"/>
    <mergeCell ref="H122:H123"/>
    <mergeCell ref="E98:E99"/>
    <mergeCell ref="F100:F101"/>
    <mergeCell ref="E92:E93"/>
    <mergeCell ref="F120:F121"/>
    <mergeCell ref="F122:F123"/>
    <mergeCell ref="G122:G123"/>
    <mergeCell ref="F104:F105"/>
    <mergeCell ref="F112:F113"/>
    <mergeCell ref="G94:G95"/>
    <mergeCell ref="H144:H145"/>
    <mergeCell ref="H132:H133"/>
    <mergeCell ref="G132:G133"/>
    <mergeCell ref="G144:G145"/>
    <mergeCell ref="H134:H135"/>
    <mergeCell ref="G134:G135"/>
    <mergeCell ref="G139:G140"/>
    <mergeCell ref="G128:G129"/>
    <mergeCell ref="G126:G127"/>
    <mergeCell ref="G130:G131"/>
    <mergeCell ref="G114:G115"/>
    <mergeCell ref="G118:G119"/>
    <mergeCell ref="G116:G117"/>
    <mergeCell ref="G124:G125"/>
    <mergeCell ref="G120:G121"/>
    <mergeCell ref="D114:D115"/>
    <mergeCell ref="D112:D113"/>
    <mergeCell ref="E112:E113"/>
    <mergeCell ref="E114:E115"/>
    <mergeCell ref="E104:E105"/>
    <mergeCell ref="F114:F115"/>
    <mergeCell ref="F110:F111"/>
    <mergeCell ref="F106:F107"/>
    <mergeCell ref="G104:G105"/>
    <mergeCell ref="H104:H105"/>
    <mergeCell ref="G80:G81"/>
    <mergeCell ref="H80:H81"/>
    <mergeCell ref="H90:H91"/>
    <mergeCell ref="H92:H93"/>
    <mergeCell ref="G92:G93"/>
    <mergeCell ref="G90:G91"/>
    <mergeCell ref="G88:G89"/>
    <mergeCell ref="H82:H83"/>
    <mergeCell ref="F144:F145"/>
    <mergeCell ref="E134:E135"/>
    <mergeCell ref="F134:F135"/>
    <mergeCell ref="C130:C131"/>
    <mergeCell ref="D130:D131"/>
    <mergeCell ref="D144:D145"/>
    <mergeCell ref="D132:D133"/>
    <mergeCell ref="D134:D135"/>
    <mergeCell ref="E144:E145"/>
    <mergeCell ref="E132:E133"/>
    <mergeCell ref="B128:B129"/>
    <mergeCell ref="D126:D127"/>
    <mergeCell ref="F132:F133"/>
    <mergeCell ref="F126:F127"/>
    <mergeCell ref="D128:D129"/>
    <mergeCell ref="E130:E131"/>
    <mergeCell ref="F130:F131"/>
    <mergeCell ref="E126:E127"/>
    <mergeCell ref="E128:E129"/>
    <mergeCell ref="F128:F129"/>
    <mergeCell ref="A144:A145"/>
    <mergeCell ref="C144:C145"/>
    <mergeCell ref="C132:C133"/>
    <mergeCell ref="A132:A133"/>
    <mergeCell ref="A134:A135"/>
    <mergeCell ref="B134:B135"/>
    <mergeCell ref="B132:B133"/>
    <mergeCell ref="C134:C135"/>
    <mergeCell ref="B136:B137"/>
    <mergeCell ref="A136:A143"/>
    <mergeCell ref="A130:A131"/>
    <mergeCell ref="B130:B131"/>
    <mergeCell ref="D122:D123"/>
    <mergeCell ref="A128:A129"/>
    <mergeCell ref="A126:A127"/>
    <mergeCell ref="B126:B127"/>
    <mergeCell ref="C126:C127"/>
    <mergeCell ref="C128:C129"/>
    <mergeCell ref="D124:D125"/>
    <mergeCell ref="C124:C125"/>
    <mergeCell ref="C118:C119"/>
    <mergeCell ref="D118:D119"/>
    <mergeCell ref="A120:A121"/>
    <mergeCell ref="B120:B121"/>
    <mergeCell ref="D116:D117"/>
    <mergeCell ref="A124:A125"/>
    <mergeCell ref="B118:B119"/>
    <mergeCell ref="C120:C121"/>
    <mergeCell ref="A122:A123"/>
    <mergeCell ref="B122:B123"/>
    <mergeCell ref="C122:C123"/>
    <mergeCell ref="B124:B125"/>
    <mergeCell ref="D120:D121"/>
    <mergeCell ref="A118:A119"/>
    <mergeCell ref="A114:A115"/>
    <mergeCell ref="B114:B115"/>
    <mergeCell ref="C114:C115"/>
    <mergeCell ref="A116:A117"/>
    <mergeCell ref="B116:B117"/>
    <mergeCell ref="C116:C117"/>
    <mergeCell ref="A112:A113"/>
    <mergeCell ref="B112:B113"/>
    <mergeCell ref="C112:C113"/>
    <mergeCell ref="G112:G113"/>
    <mergeCell ref="B108:B109"/>
    <mergeCell ref="C108:C109"/>
    <mergeCell ref="A108:A109"/>
    <mergeCell ref="G110:G111"/>
    <mergeCell ref="A110:A111"/>
    <mergeCell ref="B110:B111"/>
    <mergeCell ref="C110:C111"/>
    <mergeCell ref="D110:D111"/>
    <mergeCell ref="D106:D107"/>
    <mergeCell ref="G106:G107"/>
    <mergeCell ref="E108:E109"/>
    <mergeCell ref="F108:F109"/>
    <mergeCell ref="D108:D109"/>
    <mergeCell ref="G108:G109"/>
    <mergeCell ref="A102:A103"/>
    <mergeCell ref="B102:B103"/>
    <mergeCell ref="C102:C103"/>
    <mergeCell ref="C106:C107"/>
    <mergeCell ref="A106:A107"/>
    <mergeCell ref="A104:A105"/>
    <mergeCell ref="B104:B105"/>
    <mergeCell ref="B106:B107"/>
    <mergeCell ref="A100:A101"/>
    <mergeCell ref="B100:B101"/>
    <mergeCell ref="G102:G103"/>
    <mergeCell ref="D104:D105"/>
    <mergeCell ref="C104:C105"/>
    <mergeCell ref="D100:D101"/>
    <mergeCell ref="C100:C101"/>
    <mergeCell ref="G100:G101"/>
    <mergeCell ref="E100:E101"/>
    <mergeCell ref="F102:F103"/>
    <mergeCell ref="A96:A97"/>
    <mergeCell ref="G96:G97"/>
    <mergeCell ref="G98:G99"/>
    <mergeCell ref="A98:A99"/>
    <mergeCell ref="B98:B99"/>
    <mergeCell ref="F98:F99"/>
    <mergeCell ref="B96:B97"/>
    <mergeCell ref="E96:E97"/>
    <mergeCell ref="F96:F97"/>
    <mergeCell ref="D98:D99"/>
    <mergeCell ref="D102:D103"/>
    <mergeCell ref="C98:C99"/>
    <mergeCell ref="C94:C95"/>
    <mergeCell ref="D94:D95"/>
    <mergeCell ref="C96:C97"/>
    <mergeCell ref="D96:D97"/>
    <mergeCell ref="H44:H45"/>
    <mergeCell ref="F44:F45"/>
    <mergeCell ref="A94:A95"/>
    <mergeCell ref="B94:B95"/>
    <mergeCell ref="A92:A93"/>
    <mergeCell ref="B92:B93"/>
    <mergeCell ref="A90:A91"/>
    <mergeCell ref="B90:B91"/>
    <mergeCell ref="C92:C93"/>
    <mergeCell ref="D92:D93"/>
    <mergeCell ref="B86:B87"/>
    <mergeCell ref="A72:A73"/>
    <mergeCell ref="C90:C91"/>
    <mergeCell ref="D90:D91"/>
    <mergeCell ref="D44:D45"/>
    <mergeCell ref="H86:H87"/>
    <mergeCell ref="E86:E87"/>
    <mergeCell ref="D86:D87"/>
    <mergeCell ref="G86:G87"/>
    <mergeCell ref="G44:G45"/>
    <mergeCell ref="B72:B73"/>
    <mergeCell ref="F78:F79"/>
    <mergeCell ref="E44:E45"/>
    <mergeCell ref="A44:A45"/>
    <mergeCell ref="B44:B45"/>
    <mergeCell ref="A86:A87"/>
    <mergeCell ref="D84:D85"/>
    <mergeCell ref="D80:D81"/>
    <mergeCell ref="A84:A85"/>
    <mergeCell ref="C80:C81"/>
    <mergeCell ref="C86:C87"/>
    <mergeCell ref="C84:C85"/>
    <mergeCell ref="G84:G85"/>
    <mergeCell ref="E84:E85"/>
    <mergeCell ref="B78:B79"/>
    <mergeCell ref="C70:C71"/>
    <mergeCell ref="F86:F87"/>
    <mergeCell ref="F80:F81"/>
    <mergeCell ref="F70:F71"/>
    <mergeCell ref="C72:C73"/>
    <mergeCell ref="C78:C79"/>
    <mergeCell ref="D78:D79"/>
    <mergeCell ref="A70:A71"/>
    <mergeCell ref="A78:A79"/>
    <mergeCell ref="E78:E79"/>
    <mergeCell ref="D88:D89"/>
    <mergeCell ref="D76:D77"/>
    <mergeCell ref="E88:E89"/>
    <mergeCell ref="A76:A77"/>
    <mergeCell ref="B80:B81"/>
    <mergeCell ref="C76:C77"/>
    <mergeCell ref="F88:F89"/>
    <mergeCell ref="E74:E75"/>
    <mergeCell ref="F74:F75"/>
    <mergeCell ref="F84:F85"/>
    <mergeCell ref="A80:A81"/>
    <mergeCell ref="D82:D83"/>
    <mergeCell ref="A88:A89"/>
    <mergeCell ref="C88:C89"/>
    <mergeCell ref="B88:B89"/>
    <mergeCell ref="H74:H75"/>
    <mergeCell ref="G72:G73"/>
    <mergeCell ref="E70:E71"/>
    <mergeCell ref="H76:H77"/>
    <mergeCell ref="H78:H79"/>
    <mergeCell ref="E80:E81"/>
    <mergeCell ref="G78:G79"/>
    <mergeCell ref="E76:E77"/>
    <mergeCell ref="G76:G77"/>
    <mergeCell ref="B76:B77"/>
    <mergeCell ref="F68:F69"/>
    <mergeCell ref="E68:E69"/>
    <mergeCell ref="B70:B71"/>
    <mergeCell ref="H52:H53"/>
    <mergeCell ref="H72:H73"/>
    <mergeCell ref="H54:H55"/>
    <mergeCell ref="H64:H65"/>
    <mergeCell ref="D74:D75"/>
    <mergeCell ref="D72:D73"/>
    <mergeCell ref="H60:H61"/>
    <mergeCell ref="A74:A75"/>
    <mergeCell ref="G70:G71"/>
    <mergeCell ref="E82:E83"/>
    <mergeCell ref="F82:F83"/>
    <mergeCell ref="D64:D65"/>
    <mergeCell ref="A62:A63"/>
    <mergeCell ref="C62:C63"/>
    <mergeCell ref="B74:B75"/>
    <mergeCell ref="C74:C75"/>
    <mergeCell ref="A56:A57"/>
    <mergeCell ref="G52:G53"/>
    <mergeCell ref="G64:G65"/>
    <mergeCell ref="F72:F73"/>
    <mergeCell ref="G54:G55"/>
    <mergeCell ref="G62:G63"/>
    <mergeCell ref="G56:G57"/>
    <mergeCell ref="G60:G61"/>
    <mergeCell ref="F60:F61"/>
    <mergeCell ref="G66:G67"/>
    <mergeCell ref="H58:H59"/>
    <mergeCell ref="A64:A65"/>
    <mergeCell ref="B64:B65"/>
    <mergeCell ref="A82:A83"/>
    <mergeCell ref="D48:D49"/>
    <mergeCell ref="G58:G59"/>
    <mergeCell ref="D62:D63"/>
    <mergeCell ref="C64:C65"/>
    <mergeCell ref="F64:F65"/>
    <mergeCell ref="F52:F53"/>
    <mergeCell ref="D54:D55"/>
    <mergeCell ref="H56:H57"/>
    <mergeCell ref="A60:A61"/>
    <mergeCell ref="B60:B61"/>
    <mergeCell ref="C60:C61"/>
    <mergeCell ref="D60:D61"/>
    <mergeCell ref="E60:E61"/>
    <mergeCell ref="A58:A59"/>
    <mergeCell ref="F58:F59"/>
    <mergeCell ref="B58:B59"/>
    <mergeCell ref="H48:H49"/>
    <mergeCell ref="B56:B57"/>
    <mergeCell ref="C56:C57"/>
    <mergeCell ref="D56:D57"/>
    <mergeCell ref="F54:F55"/>
    <mergeCell ref="E66:E67"/>
    <mergeCell ref="E58:E59"/>
    <mergeCell ref="E62:E63"/>
    <mergeCell ref="E56:E57"/>
    <mergeCell ref="F66:F67"/>
    <mergeCell ref="H31:H32"/>
    <mergeCell ref="D33:D34"/>
    <mergeCell ref="H46:H47"/>
    <mergeCell ref="E46:E47"/>
    <mergeCell ref="E33:E34"/>
    <mergeCell ref="D52:D53"/>
    <mergeCell ref="E48:E49"/>
    <mergeCell ref="D50:D51"/>
    <mergeCell ref="E52:E53"/>
    <mergeCell ref="F38:F39"/>
    <mergeCell ref="H40:H41"/>
    <mergeCell ref="C31:C32"/>
    <mergeCell ref="E31:E32"/>
    <mergeCell ref="D31:D32"/>
    <mergeCell ref="D66:D67"/>
    <mergeCell ref="C58:C59"/>
    <mergeCell ref="H50:H51"/>
    <mergeCell ref="F40:F41"/>
    <mergeCell ref="G40:G41"/>
    <mergeCell ref="E38:E39"/>
    <mergeCell ref="G38:G39"/>
    <mergeCell ref="H38:H39"/>
    <mergeCell ref="H29:H30"/>
    <mergeCell ref="E29:E30"/>
    <mergeCell ref="F31:F32"/>
    <mergeCell ref="H66:H67"/>
    <mergeCell ref="E64:E65"/>
    <mergeCell ref="G48:G49"/>
    <mergeCell ref="F48:F49"/>
    <mergeCell ref="H62:H63"/>
    <mergeCell ref="F62:F63"/>
    <mergeCell ref="F56:F57"/>
    <mergeCell ref="E42:E43"/>
    <mergeCell ref="F33:F34"/>
    <mergeCell ref="F42:F43"/>
    <mergeCell ref="E54:E55"/>
    <mergeCell ref="D139:D140"/>
    <mergeCell ref="C139:C140"/>
    <mergeCell ref="D136:D137"/>
    <mergeCell ref="F136:F137"/>
    <mergeCell ref="H139:H140"/>
    <mergeCell ref="H68:H69"/>
    <mergeCell ref="G68:G69"/>
    <mergeCell ref="G82:G83"/>
    <mergeCell ref="G74:G75"/>
    <mergeCell ref="D70:D71"/>
    <mergeCell ref="H24:H25"/>
    <mergeCell ref="D38:D39"/>
    <mergeCell ref="F50:F51"/>
    <mergeCell ref="H42:H43"/>
    <mergeCell ref="G42:G43"/>
    <mergeCell ref="H33:H34"/>
    <mergeCell ref="F46:F47"/>
    <mergeCell ref="G24:G25"/>
    <mergeCell ref="G31:G32"/>
    <mergeCell ref="G33:G34"/>
    <mergeCell ref="F22:F23"/>
    <mergeCell ref="E139:E140"/>
    <mergeCell ref="F139:F140"/>
    <mergeCell ref="G136:G137"/>
    <mergeCell ref="E136:E137"/>
    <mergeCell ref="E24:E25"/>
    <mergeCell ref="G29:G30"/>
    <mergeCell ref="E72:E73"/>
    <mergeCell ref="F29:F30"/>
    <mergeCell ref="E50:E51"/>
    <mergeCell ref="A5:A7"/>
    <mergeCell ref="M6:N6"/>
    <mergeCell ref="L6:L7"/>
    <mergeCell ref="I6:I7"/>
    <mergeCell ref="G6:G7"/>
    <mergeCell ref="H20:H21"/>
    <mergeCell ref="G20:G21"/>
    <mergeCell ref="F20:F21"/>
    <mergeCell ref="E20:E21"/>
    <mergeCell ref="F16:F17"/>
    <mergeCell ref="L5:N5"/>
    <mergeCell ref="F5:F7"/>
    <mergeCell ref="G5:H5"/>
    <mergeCell ref="F18:F19"/>
    <mergeCell ref="D18:D19"/>
    <mergeCell ref="A1:N1"/>
    <mergeCell ref="A2:N2"/>
    <mergeCell ref="A3:N3"/>
    <mergeCell ref="J6:K6"/>
    <mergeCell ref="I5:K5"/>
    <mergeCell ref="G18:G19"/>
    <mergeCell ref="H6:H7"/>
    <mergeCell ref="C18:C19"/>
    <mergeCell ref="D5:D7"/>
    <mergeCell ref="E5:E7"/>
    <mergeCell ref="C5:C7"/>
    <mergeCell ref="H16:H17"/>
    <mergeCell ref="E16:E17"/>
    <mergeCell ref="D16:D17"/>
    <mergeCell ref="G16:G17"/>
    <mergeCell ref="A16:A17"/>
    <mergeCell ref="A38:A39"/>
    <mergeCell ref="B5:B7"/>
    <mergeCell ref="G22:G23"/>
    <mergeCell ref="H22:H23"/>
    <mergeCell ref="H18:H19"/>
    <mergeCell ref="C22:C23"/>
    <mergeCell ref="B18:B19"/>
    <mergeCell ref="E8:E9"/>
    <mergeCell ref="E22:E23"/>
    <mergeCell ref="C16:C17"/>
    <mergeCell ref="A68:A69"/>
    <mergeCell ref="B38:B39"/>
    <mergeCell ref="E18:E19"/>
    <mergeCell ref="A18:A19"/>
    <mergeCell ref="A20:A21"/>
    <mergeCell ref="C68:C69"/>
    <mergeCell ref="C20:C21"/>
    <mergeCell ref="C24:C25"/>
    <mergeCell ref="E40:E41"/>
    <mergeCell ref="D58:D59"/>
    <mergeCell ref="A8:A11"/>
    <mergeCell ref="B20:B21"/>
    <mergeCell ref="C8:C9"/>
    <mergeCell ref="D22:D23"/>
    <mergeCell ref="D68:D69"/>
    <mergeCell ref="D29:D30"/>
    <mergeCell ref="D24:D25"/>
    <mergeCell ref="D46:D47"/>
    <mergeCell ref="D42:D43"/>
    <mergeCell ref="B24:B28"/>
    <mergeCell ref="C42:C43"/>
    <mergeCell ref="C38:C39"/>
    <mergeCell ref="D20:D21"/>
    <mergeCell ref="B33:B37"/>
    <mergeCell ref="C48:C49"/>
    <mergeCell ref="B40:B41"/>
    <mergeCell ref="D40:D41"/>
    <mergeCell ref="C40:C41"/>
    <mergeCell ref="B48:B49"/>
    <mergeCell ref="B16:B17"/>
    <mergeCell ref="B62:B63"/>
    <mergeCell ref="D8:D9"/>
    <mergeCell ref="B139:B143"/>
    <mergeCell ref="B22:B23"/>
    <mergeCell ref="B42:B43"/>
    <mergeCell ref="C29:C30"/>
    <mergeCell ref="C33:C34"/>
    <mergeCell ref="B82:B83"/>
    <mergeCell ref="B84:B85"/>
    <mergeCell ref="A22:A28"/>
    <mergeCell ref="A66:A67"/>
    <mergeCell ref="C46:C47"/>
    <mergeCell ref="A50:A51"/>
    <mergeCell ref="B8:B11"/>
    <mergeCell ref="A29:A30"/>
    <mergeCell ref="A33:A37"/>
    <mergeCell ref="B29:B30"/>
    <mergeCell ref="A46:A47"/>
    <mergeCell ref="B46:B47"/>
    <mergeCell ref="A40:A41"/>
    <mergeCell ref="A42:A43"/>
    <mergeCell ref="A54:A55"/>
    <mergeCell ref="B54:B55"/>
    <mergeCell ref="C54:C55"/>
    <mergeCell ref="A31:A32"/>
    <mergeCell ref="B31:B32"/>
    <mergeCell ref="A48:A49"/>
    <mergeCell ref="B52:B53"/>
    <mergeCell ref="A52:A53"/>
    <mergeCell ref="C146:C150"/>
    <mergeCell ref="B50:B51"/>
    <mergeCell ref="C44:C45"/>
    <mergeCell ref="C50:C51"/>
    <mergeCell ref="C82:C83"/>
    <mergeCell ref="B66:B67"/>
    <mergeCell ref="C52:C53"/>
    <mergeCell ref="B68:B69"/>
    <mergeCell ref="C136:C137"/>
    <mergeCell ref="C66:C67"/>
    <mergeCell ref="F76:F77"/>
    <mergeCell ref="H136:H137"/>
    <mergeCell ref="F24:F25"/>
    <mergeCell ref="G50:G51"/>
    <mergeCell ref="G46:G47"/>
    <mergeCell ref="A12:A15"/>
    <mergeCell ref="B12:B15"/>
    <mergeCell ref="C12:C13"/>
    <mergeCell ref="D12:D13"/>
    <mergeCell ref="E12:E13"/>
  </mergeCells>
  <printOptions/>
  <pageMargins left="0.5905511811023623" right="0.3937007874015748" top="0.6299212598425197" bottom="0.5905511811023623" header="0.5118110236220472" footer="0.3937007874015748"/>
  <pageSetup firstPageNumber="17" useFirstPageNumber="1" fitToHeight="0" fitToWidth="1" horizontalDpi="600" verticalDpi="600" orientation="landscape" paperSize="9" r:id="rId1"/>
  <headerFooter alignWithMargins="0">
    <oddFooter>&amp;CСтраница &amp;P</oddFooter>
  </headerFooter>
  <rowBreaks count="2" manualBreakCount="2">
    <brk id="32" max="19" man="1"/>
    <brk id="75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68"/>
  <sheetViews>
    <sheetView view="pageBreakPreview" zoomScaleSheetLayoutView="100" zoomScalePageLayoutView="0" workbookViewId="0" topLeftCell="A1">
      <selection activeCell="O1" sqref="O1:Z16384"/>
    </sheetView>
  </sheetViews>
  <sheetFormatPr defaultColWidth="9.00390625" defaultRowHeight="12.75"/>
  <cols>
    <col min="1" max="1" width="4.25390625" style="0" customWidth="1"/>
    <col min="2" max="2" width="12.375" style="53" customWidth="1"/>
    <col min="3" max="3" width="33.875" style="0" customWidth="1"/>
    <col min="4" max="4" width="9.25390625" style="0" customWidth="1"/>
    <col min="5" max="5" width="12.125" style="0" customWidth="1"/>
    <col min="6" max="6" width="9.375" style="0" customWidth="1"/>
    <col min="7" max="7" width="10.00390625" style="0" bestFit="1" customWidth="1"/>
    <col min="8" max="8" width="7.625" style="0" customWidth="1"/>
    <col min="9" max="9" width="7.0039062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1229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1416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2.75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7"/>
      <c r="B7" s="1205"/>
      <c r="C7" s="1215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12">
      <c r="A8" s="1228">
        <v>1</v>
      </c>
      <c r="B8" s="1189" t="s">
        <v>737</v>
      </c>
      <c r="C8" s="1191" t="s">
        <v>1424</v>
      </c>
      <c r="D8" s="1199" t="s">
        <v>102</v>
      </c>
      <c r="E8" s="1195" t="s">
        <v>1427</v>
      </c>
      <c r="F8" s="1186">
        <f>G8+H8</f>
        <v>38.19</v>
      </c>
      <c r="G8" s="1186">
        <v>38.19</v>
      </c>
      <c r="H8" s="894">
        <v>0</v>
      </c>
      <c r="I8" s="502">
        <f>J8+K8</f>
        <v>4</v>
      </c>
      <c r="J8" s="503">
        <v>3</v>
      </c>
      <c r="K8" s="504">
        <v>1</v>
      </c>
      <c r="L8" s="502">
        <f>M8+N8</f>
        <v>28</v>
      </c>
      <c r="M8" s="503">
        <v>27</v>
      </c>
      <c r="N8" s="502">
        <v>1</v>
      </c>
    </row>
    <row r="9" spans="1:14" s="266" customFormat="1" ht="22.5" customHeight="1" thickBot="1">
      <c r="A9" s="1229"/>
      <c r="B9" s="1190"/>
      <c r="C9" s="1192"/>
      <c r="D9" s="1200"/>
      <c r="E9" s="1644"/>
      <c r="F9" s="1187"/>
      <c r="G9" s="1187"/>
      <c r="H9" s="895">
        <v>0</v>
      </c>
      <c r="I9" s="895">
        <f>J9+K9</f>
        <v>184.4</v>
      </c>
      <c r="J9" s="505">
        <v>118.2</v>
      </c>
      <c r="K9" s="969">
        <v>66.2</v>
      </c>
      <c r="L9" s="891">
        <f>M9+N9</f>
        <v>572</v>
      </c>
      <c r="M9" s="589">
        <v>545</v>
      </c>
      <c r="N9" s="891">
        <v>27</v>
      </c>
    </row>
    <row r="10" spans="1:14" s="266" customFormat="1" ht="12">
      <c r="A10" s="1167">
        <v>2</v>
      </c>
      <c r="B10" s="1169" t="s">
        <v>934</v>
      </c>
      <c r="C10" s="1182" t="s">
        <v>495</v>
      </c>
      <c r="D10" s="1173" t="s">
        <v>27</v>
      </c>
      <c r="E10" s="1173" t="s">
        <v>1446</v>
      </c>
      <c r="F10" s="1184">
        <f>G10+H10</f>
        <v>1.916</v>
      </c>
      <c r="G10" s="1184">
        <v>1.916</v>
      </c>
      <c r="H10" s="1178">
        <v>0</v>
      </c>
      <c r="I10" s="644">
        <f aca="true" t="shared" si="0" ref="I10:I17">J10+K10</f>
        <v>0</v>
      </c>
      <c r="J10" s="645">
        <v>0</v>
      </c>
      <c r="K10" s="646">
        <v>0</v>
      </c>
      <c r="L10" s="644">
        <f aca="true" t="shared" si="1" ref="L10:L17">M10+N10</f>
        <v>3</v>
      </c>
      <c r="M10" s="645">
        <v>3</v>
      </c>
      <c r="N10" s="644">
        <v>0</v>
      </c>
    </row>
    <row r="11" spans="1:14" s="266" customFormat="1" ht="12.75" thickBot="1">
      <c r="A11" s="1168"/>
      <c r="B11" s="1170"/>
      <c r="C11" s="1183"/>
      <c r="D11" s="1174"/>
      <c r="E11" s="1174"/>
      <c r="F11" s="1185"/>
      <c r="G11" s="1185"/>
      <c r="H11" s="1179"/>
      <c r="I11" s="883">
        <f t="shared" si="0"/>
        <v>0</v>
      </c>
      <c r="J11" s="990">
        <v>0</v>
      </c>
      <c r="K11" s="915">
        <v>0</v>
      </c>
      <c r="L11" s="883">
        <f t="shared" si="1"/>
        <v>43</v>
      </c>
      <c r="M11" s="990">
        <v>43</v>
      </c>
      <c r="N11" s="883">
        <v>0</v>
      </c>
    </row>
    <row r="12" spans="1:14" s="266" customFormat="1" ht="12">
      <c r="A12" s="1167">
        <v>3</v>
      </c>
      <c r="B12" s="1169" t="s">
        <v>935</v>
      </c>
      <c r="C12" s="1182" t="s">
        <v>261</v>
      </c>
      <c r="D12" s="1173" t="s">
        <v>27</v>
      </c>
      <c r="E12" s="1173" t="s">
        <v>646</v>
      </c>
      <c r="F12" s="1184">
        <f>G12+H12</f>
        <v>3.728</v>
      </c>
      <c r="G12" s="1184">
        <v>3.728</v>
      </c>
      <c r="H12" s="1178">
        <v>0</v>
      </c>
      <c r="I12" s="644">
        <f t="shared" si="0"/>
        <v>1</v>
      </c>
      <c r="J12" s="645">
        <v>1</v>
      </c>
      <c r="K12" s="646">
        <v>0</v>
      </c>
      <c r="L12" s="644">
        <f t="shared" si="1"/>
        <v>0</v>
      </c>
      <c r="M12" s="645">
        <v>0</v>
      </c>
      <c r="N12" s="644">
        <v>0</v>
      </c>
    </row>
    <row r="13" spans="1:14" s="266" customFormat="1" ht="12.75" thickBot="1">
      <c r="A13" s="1168"/>
      <c r="B13" s="1170"/>
      <c r="C13" s="1183"/>
      <c r="D13" s="1174"/>
      <c r="E13" s="1174"/>
      <c r="F13" s="1185"/>
      <c r="G13" s="1185"/>
      <c r="H13" s="1179"/>
      <c r="I13" s="883">
        <f t="shared" si="0"/>
        <v>37.94</v>
      </c>
      <c r="J13" s="990">
        <v>37.94</v>
      </c>
      <c r="K13" s="915">
        <v>0</v>
      </c>
      <c r="L13" s="883">
        <f t="shared" si="1"/>
        <v>0</v>
      </c>
      <c r="M13" s="990">
        <v>0</v>
      </c>
      <c r="N13" s="883">
        <v>0</v>
      </c>
    </row>
    <row r="14" spans="1:14" s="266" customFormat="1" ht="12">
      <c r="A14" s="1167">
        <v>4</v>
      </c>
      <c r="B14" s="1169" t="s">
        <v>936</v>
      </c>
      <c r="C14" s="1182" t="s">
        <v>447</v>
      </c>
      <c r="D14" s="1173" t="s">
        <v>27</v>
      </c>
      <c r="E14" s="1173" t="s">
        <v>710</v>
      </c>
      <c r="F14" s="1184">
        <f>G14+H14</f>
        <v>3.375</v>
      </c>
      <c r="G14" s="1184">
        <v>3.375</v>
      </c>
      <c r="H14" s="1178">
        <v>0</v>
      </c>
      <c r="I14" s="644">
        <f t="shared" si="0"/>
        <v>1</v>
      </c>
      <c r="J14" s="645">
        <v>1</v>
      </c>
      <c r="K14" s="646">
        <v>0</v>
      </c>
      <c r="L14" s="644">
        <f t="shared" si="1"/>
        <v>0</v>
      </c>
      <c r="M14" s="645">
        <v>0</v>
      </c>
      <c r="N14" s="644">
        <v>0</v>
      </c>
    </row>
    <row r="15" spans="1:14" s="266" customFormat="1" ht="12.75" thickBot="1">
      <c r="A15" s="1168"/>
      <c r="B15" s="1170"/>
      <c r="C15" s="1183"/>
      <c r="D15" s="1174"/>
      <c r="E15" s="1174"/>
      <c r="F15" s="1185"/>
      <c r="G15" s="1185"/>
      <c r="H15" s="1179"/>
      <c r="I15" s="885">
        <f t="shared" si="0"/>
        <v>6</v>
      </c>
      <c r="J15" s="650">
        <v>6</v>
      </c>
      <c r="K15" s="915">
        <v>0</v>
      </c>
      <c r="L15" s="883">
        <f t="shared" si="1"/>
        <v>0</v>
      </c>
      <c r="M15" s="990">
        <v>0</v>
      </c>
      <c r="N15" s="883">
        <v>0</v>
      </c>
    </row>
    <row r="16" spans="1:14" s="266" customFormat="1" ht="12">
      <c r="A16" s="1167">
        <v>5</v>
      </c>
      <c r="B16" s="1169" t="s">
        <v>937</v>
      </c>
      <c r="C16" s="1232" t="s">
        <v>262</v>
      </c>
      <c r="D16" s="1173" t="s">
        <v>27</v>
      </c>
      <c r="E16" s="1169" t="s">
        <v>46</v>
      </c>
      <c r="F16" s="1178">
        <f>G16+H16</f>
        <v>1.6</v>
      </c>
      <c r="G16" s="1178">
        <v>1.6</v>
      </c>
      <c r="H16" s="1178">
        <v>0</v>
      </c>
      <c r="I16" s="1038">
        <f t="shared" si="0"/>
        <v>0</v>
      </c>
      <c r="J16" s="1038">
        <v>0</v>
      </c>
      <c r="K16" s="1039">
        <v>0</v>
      </c>
      <c r="L16" s="1038">
        <f t="shared" si="1"/>
        <v>1</v>
      </c>
      <c r="M16" s="1038">
        <v>1</v>
      </c>
      <c r="N16" s="1038">
        <v>0</v>
      </c>
    </row>
    <row r="17" spans="1:14" s="266" customFormat="1" ht="12.75" thickBot="1">
      <c r="A17" s="1168"/>
      <c r="B17" s="1170"/>
      <c r="C17" s="1233"/>
      <c r="D17" s="1174"/>
      <c r="E17" s="1170"/>
      <c r="F17" s="1179"/>
      <c r="G17" s="1179"/>
      <c r="H17" s="1179"/>
      <c r="I17" s="1040">
        <f t="shared" si="0"/>
        <v>0</v>
      </c>
      <c r="J17" s="1040">
        <v>0</v>
      </c>
      <c r="K17" s="1041">
        <v>0</v>
      </c>
      <c r="L17" s="1040">
        <f t="shared" si="1"/>
        <v>15</v>
      </c>
      <c r="M17" s="1040">
        <v>15</v>
      </c>
      <c r="N17" s="1040">
        <v>0</v>
      </c>
    </row>
    <row r="18" spans="1:14" s="266" customFormat="1" ht="12">
      <c r="A18" s="1167">
        <v>6</v>
      </c>
      <c r="B18" s="1169" t="s">
        <v>939</v>
      </c>
      <c r="C18" s="1182" t="s">
        <v>263</v>
      </c>
      <c r="D18" s="1173" t="s">
        <v>27</v>
      </c>
      <c r="E18" s="1173" t="s">
        <v>683</v>
      </c>
      <c r="F18" s="1184">
        <f>G18+H18</f>
        <v>25.1</v>
      </c>
      <c r="G18" s="1184">
        <v>25.1</v>
      </c>
      <c r="H18" s="1178">
        <v>0</v>
      </c>
      <c r="I18" s="644">
        <f aca="true" t="shared" si="2" ref="I18:I28">J18+K18</f>
        <v>1</v>
      </c>
      <c r="J18" s="644">
        <v>1</v>
      </c>
      <c r="K18" s="644">
        <v>0</v>
      </c>
      <c r="L18" s="645">
        <f aca="true" t="shared" si="3" ref="L18:L34">M18+N18</f>
        <v>11</v>
      </c>
      <c r="M18" s="645">
        <v>10</v>
      </c>
      <c r="N18" s="644">
        <v>1</v>
      </c>
    </row>
    <row r="19" spans="1:14" s="266" customFormat="1" ht="12.75" thickBot="1">
      <c r="A19" s="1168"/>
      <c r="B19" s="1170"/>
      <c r="C19" s="1183"/>
      <c r="D19" s="1174"/>
      <c r="E19" s="1174"/>
      <c r="F19" s="1185"/>
      <c r="G19" s="1185"/>
      <c r="H19" s="1179"/>
      <c r="I19" s="883">
        <f t="shared" si="2"/>
        <v>28.75</v>
      </c>
      <c r="J19" s="883">
        <v>28.75</v>
      </c>
      <c r="K19" s="883">
        <v>0</v>
      </c>
      <c r="L19" s="990">
        <f t="shared" si="3"/>
        <v>195</v>
      </c>
      <c r="M19" s="990">
        <v>182</v>
      </c>
      <c r="N19" s="883">
        <v>13</v>
      </c>
    </row>
    <row r="20" spans="1:14" s="266" customFormat="1" ht="12" customHeight="1">
      <c r="A20" s="1167">
        <v>7</v>
      </c>
      <c r="B20" s="1169" t="s">
        <v>941</v>
      </c>
      <c r="C20" s="1182" t="s">
        <v>264</v>
      </c>
      <c r="D20" s="1173" t="s">
        <v>27</v>
      </c>
      <c r="E20" s="1645" t="s">
        <v>1320</v>
      </c>
      <c r="F20" s="1184">
        <f>G20+H20</f>
        <v>24.302</v>
      </c>
      <c r="G20" s="1184">
        <v>24.302</v>
      </c>
      <c r="H20" s="1178">
        <v>0</v>
      </c>
      <c r="I20" s="644">
        <f t="shared" si="2"/>
        <v>3</v>
      </c>
      <c r="J20" s="645">
        <v>3</v>
      </c>
      <c r="K20" s="646">
        <v>0</v>
      </c>
      <c r="L20" s="644">
        <f t="shared" si="3"/>
        <v>20</v>
      </c>
      <c r="M20" s="645">
        <v>20</v>
      </c>
      <c r="N20" s="644">
        <v>0</v>
      </c>
    </row>
    <row r="21" spans="1:14" s="266" customFormat="1" ht="48.75" customHeight="1" thickBot="1">
      <c r="A21" s="1168"/>
      <c r="B21" s="1170"/>
      <c r="C21" s="1183"/>
      <c r="D21" s="1174"/>
      <c r="E21" s="1646"/>
      <c r="F21" s="1185"/>
      <c r="G21" s="1185"/>
      <c r="H21" s="1179"/>
      <c r="I21" s="883">
        <f t="shared" si="2"/>
        <v>86.97999999999999</v>
      </c>
      <c r="J21" s="990">
        <f>85.63+1.35</f>
        <v>86.97999999999999</v>
      </c>
      <c r="K21" s="915">
        <v>0</v>
      </c>
      <c r="L21" s="883">
        <f t="shared" si="3"/>
        <v>296</v>
      </c>
      <c r="M21" s="990">
        <v>296</v>
      </c>
      <c r="N21" s="883">
        <v>0</v>
      </c>
    </row>
    <row r="22" spans="1:14" s="266" customFormat="1" ht="12" customHeight="1">
      <c r="A22" s="1167">
        <v>8</v>
      </c>
      <c r="B22" s="1169" t="s">
        <v>942</v>
      </c>
      <c r="C22" s="1182" t="s">
        <v>265</v>
      </c>
      <c r="D22" s="1173" t="s">
        <v>27</v>
      </c>
      <c r="E22" s="1173" t="s">
        <v>173</v>
      </c>
      <c r="F22" s="1178">
        <f>G22+H22</f>
        <v>15.8</v>
      </c>
      <c r="G22" s="1178">
        <v>15.8</v>
      </c>
      <c r="H22" s="1178">
        <v>0</v>
      </c>
      <c r="I22" s="644">
        <f>J22+K22</f>
        <v>0</v>
      </c>
      <c r="J22" s="645">
        <v>0</v>
      </c>
      <c r="K22" s="646">
        <v>0</v>
      </c>
      <c r="L22" s="644">
        <f t="shared" si="3"/>
        <v>9</v>
      </c>
      <c r="M22" s="645">
        <v>8</v>
      </c>
      <c r="N22" s="644">
        <v>1</v>
      </c>
    </row>
    <row r="23" spans="1:14" s="266" customFormat="1" ht="12" customHeight="1" thickBot="1">
      <c r="A23" s="1168"/>
      <c r="B23" s="1170"/>
      <c r="C23" s="1183"/>
      <c r="D23" s="1174"/>
      <c r="E23" s="1174"/>
      <c r="F23" s="1179"/>
      <c r="G23" s="1179"/>
      <c r="H23" s="1179"/>
      <c r="I23" s="883">
        <f>J23+K23</f>
        <v>0</v>
      </c>
      <c r="J23" s="990">
        <v>0</v>
      </c>
      <c r="K23" s="915">
        <v>0</v>
      </c>
      <c r="L23" s="883">
        <f t="shared" si="3"/>
        <v>132</v>
      </c>
      <c r="M23" s="990">
        <v>115</v>
      </c>
      <c r="N23" s="883">
        <v>17</v>
      </c>
    </row>
    <row r="24" spans="1:14" s="266" customFormat="1" ht="12">
      <c r="A24" s="1167">
        <v>9</v>
      </c>
      <c r="B24" s="1169" t="s">
        <v>944</v>
      </c>
      <c r="C24" s="1182" t="s">
        <v>266</v>
      </c>
      <c r="D24" s="1173" t="s">
        <v>27</v>
      </c>
      <c r="E24" s="1173" t="s">
        <v>684</v>
      </c>
      <c r="F24" s="1184">
        <f>G24+H24</f>
        <v>3.24</v>
      </c>
      <c r="G24" s="1184">
        <v>3.24</v>
      </c>
      <c r="H24" s="1178">
        <v>0</v>
      </c>
      <c r="I24" s="644">
        <f t="shared" si="2"/>
        <v>0</v>
      </c>
      <c r="J24" s="645">
        <v>0</v>
      </c>
      <c r="K24" s="646">
        <v>0</v>
      </c>
      <c r="L24" s="644">
        <f t="shared" si="3"/>
        <v>0</v>
      </c>
      <c r="M24" s="645">
        <v>0</v>
      </c>
      <c r="N24" s="644">
        <v>0</v>
      </c>
    </row>
    <row r="25" spans="1:14" s="266" customFormat="1" ht="12.75" thickBot="1">
      <c r="A25" s="1168"/>
      <c r="B25" s="1170"/>
      <c r="C25" s="1183"/>
      <c r="D25" s="1174"/>
      <c r="E25" s="1174"/>
      <c r="F25" s="1185"/>
      <c r="G25" s="1185"/>
      <c r="H25" s="1179"/>
      <c r="I25" s="883">
        <f t="shared" si="2"/>
        <v>0</v>
      </c>
      <c r="J25" s="990">
        <v>0</v>
      </c>
      <c r="K25" s="915">
        <v>0</v>
      </c>
      <c r="L25" s="883">
        <f t="shared" si="3"/>
        <v>0</v>
      </c>
      <c r="M25" s="990">
        <v>0</v>
      </c>
      <c r="N25" s="883">
        <v>0</v>
      </c>
    </row>
    <row r="26" spans="1:14" s="266" customFormat="1" ht="12">
      <c r="A26" s="1167">
        <v>10</v>
      </c>
      <c r="B26" s="1169" t="s">
        <v>946</v>
      </c>
      <c r="C26" s="1182" t="s">
        <v>488</v>
      </c>
      <c r="D26" s="1173" t="s">
        <v>100</v>
      </c>
      <c r="E26" s="1173" t="s">
        <v>267</v>
      </c>
      <c r="F26" s="1184">
        <f>G26+H26</f>
        <v>6.6</v>
      </c>
      <c r="G26" s="1178">
        <v>6.6</v>
      </c>
      <c r="H26" s="1178">
        <v>0</v>
      </c>
      <c r="I26" s="644">
        <f t="shared" si="2"/>
        <v>3</v>
      </c>
      <c r="J26" s="645">
        <v>3</v>
      </c>
      <c r="K26" s="646">
        <v>0</v>
      </c>
      <c r="L26" s="644">
        <f t="shared" si="3"/>
        <v>3</v>
      </c>
      <c r="M26" s="645">
        <v>3</v>
      </c>
      <c r="N26" s="644">
        <v>0</v>
      </c>
    </row>
    <row r="27" spans="1:14" s="266" customFormat="1" ht="12.75" thickBot="1">
      <c r="A27" s="1168"/>
      <c r="B27" s="1170"/>
      <c r="C27" s="1183"/>
      <c r="D27" s="1174"/>
      <c r="E27" s="1174"/>
      <c r="F27" s="1185"/>
      <c r="G27" s="1179"/>
      <c r="H27" s="1179"/>
      <c r="I27" s="885">
        <f t="shared" si="2"/>
        <v>172.8</v>
      </c>
      <c r="J27" s="650">
        <v>172.8</v>
      </c>
      <c r="K27" s="915">
        <v>0</v>
      </c>
      <c r="L27" s="883">
        <f t="shared" si="3"/>
        <v>55</v>
      </c>
      <c r="M27" s="990">
        <v>55</v>
      </c>
      <c r="N27" s="883">
        <v>0</v>
      </c>
    </row>
    <row r="28" spans="1:14" s="266" customFormat="1" ht="23.25" customHeight="1">
      <c r="A28" s="1167">
        <v>11</v>
      </c>
      <c r="B28" s="1169" t="s">
        <v>947</v>
      </c>
      <c r="C28" s="1182" t="s">
        <v>268</v>
      </c>
      <c r="D28" s="1173" t="s">
        <v>27</v>
      </c>
      <c r="E28" s="1173" t="s">
        <v>711</v>
      </c>
      <c r="F28" s="1184">
        <f>G28+H28</f>
        <v>2.567</v>
      </c>
      <c r="G28" s="1178">
        <v>0</v>
      </c>
      <c r="H28" s="1184">
        <v>2.567</v>
      </c>
      <c r="I28" s="644">
        <f t="shared" si="2"/>
        <v>0</v>
      </c>
      <c r="J28" s="645">
        <v>0</v>
      </c>
      <c r="K28" s="646">
        <v>0</v>
      </c>
      <c r="L28" s="644">
        <f t="shared" si="3"/>
        <v>3</v>
      </c>
      <c r="M28" s="645">
        <v>1</v>
      </c>
      <c r="N28" s="644">
        <v>2</v>
      </c>
    </row>
    <row r="29" spans="1:14" s="266" customFormat="1" ht="12.75" thickBot="1">
      <c r="A29" s="1168"/>
      <c r="B29" s="1170"/>
      <c r="C29" s="1183"/>
      <c r="D29" s="1174"/>
      <c r="E29" s="1174"/>
      <c r="F29" s="1185"/>
      <c r="G29" s="1179"/>
      <c r="H29" s="1185"/>
      <c r="I29" s="883">
        <v>0</v>
      </c>
      <c r="J29" s="990">
        <v>0</v>
      </c>
      <c r="K29" s="915">
        <v>0</v>
      </c>
      <c r="L29" s="883">
        <f t="shared" si="3"/>
        <v>33</v>
      </c>
      <c r="M29" s="990">
        <v>15</v>
      </c>
      <c r="N29" s="883">
        <v>18</v>
      </c>
    </row>
    <row r="30" spans="1:14" s="266" customFormat="1" ht="12" customHeight="1">
      <c r="A30" s="1167">
        <v>12</v>
      </c>
      <c r="B30" s="1169" t="s">
        <v>950</v>
      </c>
      <c r="C30" s="1182" t="s">
        <v>270</v>
      </c>
      <c r="D30" s="1173" t="s">
        <v>27</v>
      </c>
      <c r="E30" s="1173" t="s">
        <v>714</v>
      </c>
      <c r="F30" s="1184">
        <f>G30+H30</f>
        <v>1.062</v>
      </c>
      <c r="G30" s="1178">
        <v>0</v>
      </c>
      <c r="H30" s="1184">
        <v>1.062</v>
      </c>
      <c r="I30" s="644">
        <v>0</v>
      </c>
      <c r="J30" s="645">
        <v>0</v>
      </c>
      <c r="K30" s="646">
        <v>0</v>
      </c>
      <c r="L30" s="644">
        <f t="shared" si="3"/>
        <v>0</v>
      </c>
      <c r="M30" s="645">
        <v>0</v>
      </c>
      <c r="N30" s="644">
        <v>0</v>
      </c>
    </row>
    <row r="31" spans="1:14" s="266" customFormat="1" ht="12" customHeight="1" thickBot="1">
      <c r="A31" s="1168"/>
      <c r="B31" s="1170"/>
      <c r="C31" s="1183"/>
      <c r="D31" s="1174"/>
      <c r="E31" s="1174"/>
      <c r="F31" s="1185"/>
      <c r="G31" s="1179"/>
      <c r="H31" s="1185"/>
      <c r="I31" s="883">
        <v>0</v>
      </c>
      <c r="J31" s="990">
        <v>0</v>
      </c>
      <c r="K31" s="915">
        <v>0</v>
      </c>
      <c r="L31" s="883">
        <f t="shared" si="3"/>
        <v>0</v>
      </c>
      <c r="M31" s="990">
        <v>0</v>
      </c>
      <c r="N31" s="883">
        <v>0</v>
      </c>
    </row>
    <row r="32" spans="1:14" s="266" customFormat="1" ht="12">
      <c r="A32" s="1167">
        <v>13</v>
      </c>
      <c r="B32" s="1169" t="s">
        <v>951</v>
      </c>
      <c r="C32" s="1182" t="s">
        <v>673</v>
      </c>
      <c r="D32" s="1173" t="s">
        <v>27</v>
      </c>
      <c r="E32" s="1173" t="s">
        <v>712</v>
      </c>
      <c r="F32" s="1184">
        <f>G32+H32</f>
        <v>1.217</v>
      </c>
      <c r="G32" s="1184">
        <v>1.217</v>
      </c>
      <c r="H32" s="1178">
        <v>0</v>
      </c>
      <c r="I32" s="644">
        <v>0</v>
      </c>
      <c r="J32" s="645">
        <v>0</v>
      </c>
      <c r="K32" s="646">
        <v>0</v>
      </c>
      <c r="L32" s="644">
        <f t="shared" si="3"/>
        <v>2</v>
      </c>
      <c r="M32" s="645">
        <v>2</v>
      </c>
      <c r="N32" s="644">
        <v>0</v>
      </c>
    </row>
    <row r="33" spans="1:14" s="266" customFormat="1" ht="12.75" thickBot="1">
      <c r="A33" s="1168"/>
      <c r="B33" s="1170"/>
      <c r="C33" s="1183"/>
      <c r="D33" s="1174"/>
      <c r="E33" s="1174"/>
      <c r="F33" s="1185"/>
      <c r="G33" s="1185"/>
      <c r="H33" s="1179"/>
      <c r="I33" s="883">
        <v>0</v>
      </c>
      <c r="J33" s="990">
        <v>0</v>
      </c>
      <c r="K33" s="915">
        <v>0</v>
      </c>
      <c r="L33" s="883">
        <f t="shared" si="3"/>
        <v>29</v>
      </c>
      <c r="M33" s="990">
        <v>29</v>
      </c>
      <c r="N33" s="883">
        <v>0</v>
      </c>
    </row>
    <row r="34" spans="1:14" s="266" customFormat="1" ht="12">
      <c r="A34" s="1167">
        <v>14</v>
      </c>
      <c r="B34" s="1169" t="s">
        <v>953</v>
      </c>
      <c r="C34" s="1182" t="s">
        <v>272</v>
      </c>
      <c r="D34" s="1173" t="s">
        <v>27</v>
      </c>
      <c r="E34" s="1173" t="s">
        <v>709</v>
      </c>
      <c r="F34" s="1184">
        <f>G34+H34</f>
        <v>10.118</v>
      </c>
      <c r="G34" s="1184">
        <v>10.118</v>
      </c>
      <c r="H34" s="1178">
        <v>0</v>
      </c>
      <c r="I34" s="644">
        <f>J34+K34</f>
        <v>0</v>
      </c>
      <c r="J34" s="644">
        <v>0</v>
      </c>
      <c r="K34" s="644">
        <v>0</v>
      </c>
      <c r="L34" s="644">
        <f t="shared" si="3"/>
        <v>1</v>
      </c>
      <c r="M34" s="644">
        <v>1</v>
      </c>
      <c r="N34" s="644">
        <v>0</v>
      </c>
    </row>
    <row r="35" spans="1:14" s="266" customFormat="1" ht="12.75" thickBot="1">
      <c r="A35" s="1168"/>
      <c r="B35" s="1170"/>
      <c r="C35" s="1183"/>
      <c r="D35" s="1174"/>
      <c r="E35" s="1174"/>
      <c r="F35" s="1185"/>
      <c r="G35" s="1185"/>
      <c r="H35" s="1179"/>
      <c r="I35" s="883">
        <f>J35+K35</f>
        <v>0</v>
      </c>
      <c r="J35" s="883">
        <v>0</v>
      </c>
      <c r="K35" s="883">
        <v>0</v>
      </c>
      <c r="L35" s="883">
        <v>35</v>
      </c>
      <c r="M35" s="883">
        <v>35</v>
      </c>
      <c r="N35" s="883">
        <v>0</v>
      </c>
    </row>
    <row r="36" spans="1:14" s="266" customFormat="1" ht="12" customHeight="1">
      <c r="A36" s="1167">
        <v>15</v>
      </c>
      <c r="B36" s="1169" t="s">
        <v>955</v>
      </c>
      <c r="C36" s="1182" t="s">
        <v>273</v>
      </c>
      <c r="D36" s="1173" t="s">
        <v>27</v>
      </c>
      <c r="E36" s="1173" t="s">
        <v>1447</v>
      </c>
      <c r="F36" s="1184">
        <f>G36+H36</f>
        <v>2.073</v>
      </c>
      <c r="G36" s="1184">
        <v>2.073</v>
      </c>
      <c r="H36" s="1178">
        <v>0</v>
      </c>
      <c r="I36" s="644">
        <f>J36+K36</f>
        <v>0</v>
      </c>
      <c r="J36" s="645">
        <v>0</v>
      </c>
      <c r="K36" s="646">
        <v>0</v>
      </c>
      <c r="L36" s="644">
        <f>M36+N36</f>
        <v>0</v>
      </c>
      <c r="M36" s="645">
        <v>0</v>
      </c>
      <c r="N36" s="644">
        <v>0</v>
      </c>
    </row>
    <row r="37" spans="1:14" s="266" customFormat="1" ht="12" customHeight="1" thickBot="1">
      <c r="A37" s="1168"/>
      <c r="B37" s="1170"/>
      <c r="C37" s="1183"/>
      <c r="D37" s="1174"/>
      <c r="E37" s="1174"/>
      <c r="F37" s="1185"/>
      <c r="G37" s="1185"/>
      <c r="H37" s="1179"/>
      <c r="I37" s="883">
        <f>J37+K37</f>
        <v>0</v>
      </c>
      <c r="J37" s="990">
        <v>0</v>
      </c>
      <c r="K37" s="915">
        <v>0</v>
      </c>
      <c r="L37" s="883">
        <f>M37+N37</f>
        <v>0</v>
      </c>
      <c r="M37" s="990">
        <v>0</v>
      </c>
      <c r="N37" s="883">
        <v>0</v>
      </c>
    </row>
    <row r="38" spans="1:14" s="266" customFormat="1" ht="12" hidden="1">
      <c r="A38" s="1393"/>
      <c r="B38" s="1393"/>
      <c r="C38" s="1557"/>
      <c r="D38" s="1647"/>
      <c r="E38" s="1258"/>
      <c r="F38" s="1405"/>
      <c r="G38" s="1405"/>
      <c r="H38" s="1413"/>
      <c r="I38" s="413"/>
      <c r="J38" s="413"/>
      <c r="K38" s="413"/>
      <c r="L38" s="413"/>
      <c r="M38" s="413"/>
      <c r="N38" s="430"/>
    </row>
    <row r="39" spans="1:14" s="266" customFormat="1" ht="12" hidden="1">
      <c r="A39" s="1236"/>
      <c r="B39" s="1236"/>
      <c r="C39" s="1649"/>
      <c r="D39" s="1648"/>
      <c r="E39" s="1415"/>
      <c r="F39" s="1256"/>
      <c r="G39" s="1256"/>
      <c r="H39" s="1414"/>
      <c r="I39" s="412"/>
      <c r="J39" s="412"/>
      <c r="K39" s="415"/>
      <c r="L39" s="415"/>
      <c r="M39" s="415"/>
      <c r="N39" s="431"/>
    </row>
    <row r="40" spans="1:14" s="266" customFormat="1" ht="12" hidden="1">
      <c r="A40" s="1394"/>
      <c r="B40" s="1236"/>
      <c r="C40" s="1409"/>
      <c r="D40" s="1650"/>
      <c r="E40" s="1401"/>
      <c r="F40" s="1404"/>
      <c r="G40" s="1404"/>
      <c r="H40" s="1404"/>
      <c r="I40" s="258"/>
      <c r="J40" s="260"/>
      <c r="K40" s="268"/>
      <c r="L40" s="258"/>
      <c r="M40" s="260"/>
      <c r="N40" s="258"/>
    </row>
    <row r="41" spans="1:14" s="266" customFormat="1" ht="12" hidden="1">
      <c r="A41" s="1393"/>
      <c r="B41" s="1236"/>
      <c r="C41" s="1557"/>
      <c r="D41" s="1648"/>
      <c r="E41" s="1258"/>
      <c r="F41" s="1414"/>
      <c r="G41" s="1414"/>
      <c r="H41" s="1414"/>
      <c r="I41" s="415"/>
      <c r="J41" s="302"/>
      <c r="K41" s="431"/>
      <c r="L41" s="415"/>
      <c r="M41" s="302"/>
      <c r="N41" s="415"/>
    </row>
    <row r="42" spans="1:14" s="266" customFormat="1" ht="12" hidden="1">
      <c r="A42" s="1394">
        <v>25</v>
      </c>
      <c r="B42" s="1394"/>
      <c r="C42" s="1409"/>
      <c r="D42" s="1401"/>
      <c r="E42" s="1401"/>
      <c r="F42" s="1404"/>
      <c r="G42" s="1404"/>
      <c r="H42" s="1404"/>
      <c r="I42" s="258"/>
      <c r="J42" s="267"/>
      <c r="K42" s="268"/>
      <c r="L42" s="258"/>
      <c r="M42" s="267"/>
      <c r="N42" s="269"/>
    </row>
    <row r="43" spans="1:14" s="266" customFormat="1" ht="12" hidden="1">
      <c r="A43" s="1393"/>
      <c r="B43" s="1393"/>
      <c r="C43" s="1557"/>
      <c r="D43" s="1258"/>
      <c r="E43" s="1258"/>
      <c r="F43" s="1414"/>
      <c r="G43" s="1414"/>
      <c r="H43" s="1414"/>
      <c r="I43" s="415"/>
      <c r="J43" s="307"/>
      <c r="K43" s="430"/>
      <c r="L43" s="415"/>
      <c r="M43" s="307"/>
      <c r="N43" s="413"/>
    </row>
    <row r="44" spans="1:14" s="266" customFormat="1" ht="12" hidden="1">
      <c r="A44" s="1394">
        <v>26</v>
      </c>
      <c r="B44" s="1394"/>
      <c r="C44" s="1409"/>
      <c r="D44" s="1401"/>
      <c r="E44" s="1401"/>
      <c r="F44" s="1404"/>
      <c r="G44" s="1404"/>
      <c r="H44" s="1404"/>
      <c r="I44" s="258"/>
      <c r="J44" s="260"/>
      <c r="K44" s="259"/>
      <c r="L44" s="258"/>
      <c r="M44" s="260"/>
      <c r="N44" s="258"/>
    </row>
    <row r="45" spans="1:14" s="266" customFormat="1" ht="12" hidden="1">
      <c r="A45" s="1393"/>
      <c r="B45" s="1393"/>
      <c r="C45" s="1557"/>
      <c r="D45" s="1258"/>
      <c r="E45" s="1258"/>
      <c r="F45" s="1414"/>
      <c r="G45" s="1414"/>
      <c r="H45" s="1414"/>
      <c r="I45" s="415"/>
      <c r="J45" s="302"/>
      <c r="K45" s="431"/>
      <c r="L45" s="415"/>
      <c r="M45" s="302"/>
      <c r="N45" s="415"/>
    </row>
    <row r="46" spans="1:14" s="266" customFormat="1" ht="12" hidden="1">
      <c r="A46" s="1394">
        <v>27</v>
      </c>
      <c r="B46" s="1394"/>
      <c r="C46" s="1409"/>
      <c r="D46" s="1401"/>
      <c r="E46" s="1401"/>
      <c r="F46" s="1404"/>
      <c r="G46" s="1404"/>
      <c r="H46" s="1404"/>
      <c r="I46" s="258"/>
      <c r="J46" s="267"/>
      <c r="K46" s="268"/>
      <c r="L46" s="258"/>
      <c r="M46" s="267"/>
      <c r="N46" s="269"/>
    </row>
    <row r="47" spans="1:14" s="266" customFormat="1" ht="12" hidden="1">
      <c r="A47" s="1393"/>
      <c r="B47" s="1393"/>
      <c r="C47" s="1557"/>
      <c r="D47" s="1258"/>
      <c r="E47" s="1258"/>
      <c r="F47" s="1414"/>
      <c r="G47" s="1414"/>
      <c r="H47" s="1414"/>
      <c r="I47" s="415"/>
      <c r="J47" s="307"/>
      <c r="K47" s="430"/>
      <c r="L47" s="415"/>
      <c r="M47" s="307"/>
      <c r="N47" s="413"/>
    </row>
    <row r="48" spans="1:14" s="266" customFormat="1" ht="12" hidden="1">
      <c r="A48" s="1394">
        <v>28</v>
      </c>
      <c r="B48" s="1394"/>
      <c r="C48" s="1409"/>
      <c r="D48" s="1401"/>
      <c r="E48" s="1401"/>
      <c r="F48" s="1404"/>
      <c r="G48" s="1404"/>
      <c r="H48" s="1404"/>
      <c r="I48" s="258"/>
      <c r="J48" s="260"/>
      <c r="K48" s="259"/>
      <c r="L48" s="258"/>
      <c r="M48" s="260"/>
      <c r="N48" s="258"/>
    </row>
    <row r="49" spans="1:14" s="266" customFormat="1" ht="12" hidden="1">
      <c r="A49" s="1393"/>
      <c r="B49" s="1393"/>
      <c r="C49" s="1557"/>
      <c r="D49" s="1258"/>
      <c r="E49" s="1258"/>
      <c r="F49" s="1414"/>
      <c r="G49" s="1414"/>
      <c r="H49" s="1414"/>
      <c r="I49" s="415"/>
      <c r="J49" s="302"/>
      <c r="K49" s="431"/>
      <c r="L49" s="415"/>
      <c r="M49" s="302"/>
      <c r="N49" s="415"/>
    </row>
    <row r="50" spans="1:14" s="266" customFormat="1" ht="12" hidden="1">
      <c r="A50" s="1394">
        <v>29</v>
      </c>
      <c r="B50" s="1394"/>
      <c r="C50" s="1409"/>
      <c r="D50" s="1401"/>
      <c r="E50" s="1401"/>
      <c r="F50" s="1404"/>
      <c r="G50" s="1404"/>
      <c r="H50" s="1404"/>
      <c r="I50" s="258"/>
      <c r="J50" s="267"/>
      <c r="K50" s="268"/>
      <c r="L50" s="258"/>
      <c r="M50" s="267"/>
      <c r="N50" s="269"/>
    </row>
    <row r="51" spans="1:14" s="266" customFormat="1" ht="12" hidden="1">
      <c r="A51" s="1393"/>
      <c r="B51" s="1393"/>
      <c r="C51" s="1557"/>
      <c r="D51" s="1258"/>
      <c r="E51" s="1258"/>
      <c r="F51" s="1414"/>
      <c r="G51" s="1414"/>
      <c r="H51" s="1414"/>
      <c r="I51" s="415"/>
      <c r="J51" s="307"/>
      <c r="K51" s="430"/>
      <c r="L51" s="415"/>
      <c r="M51" s="307"/>
      <c r="N51" s="413"/>
    </row>
    <row r="52" spans="1:14" s="266" customFormat="1" ht="22.5" customHeight="1" hidden="1">
      <c r="A52" s="1394">
        <v>30</v>
      </c>
      <c r="B52" s="1394"/>
      <c r="C52" s="1409"/>
      <c r="D52" s="1401"/>
      <c r="E52" s="1401"/>
      <c r="F52" s="1404"/>
      <c r="G52" s="1404"/>
      <c r="H52" s="1404"/>
      <c r="I52" s="258"/>
      <c r="J52" s="260"/>
      <c r="K52" s="259"/>
      <c r="L52" s="258"/>
      <c r="M52" s="260"/>
      <c r="N52" s="258"/>
    </row>
    <row r="53" spans="1:14" s="266" customFormat="1" ht="12" hidden="1">
      <c r="A53" s="1393"/>
      <c r="B53" s="1393"/>
      <c r="C53" s="1557"/>
      <c r="D53" s="1258"/>
      <c r="E53" s="1258"/>
      <c r="F53" s="1414"/>
      <c r="G53" s="1414"/>
      <c r="H53" s="1414"/>
      <c r="I53" s="415"/>
      <c r="J53" s="302"/>
      <c r="K53" s="431"/>
      <c r="L53" s="415"/>
      <c r="M53" s="302"/>
      <c r="N53" s="415"/>
    </row>
    <row r="54" spans="1:14" s="266" customFormat="1" ht="12" hidden="1">
      <c r="A54" s="1394">
        <v>31</v>
      </c>
      <c r="B54" s="1394"/>
      <c r="C54" s="1409"/>
      <c r="D54" s="1401"/>
      <c r="E54" s="1401"/>
      <c r="F54" s="1404"/>
      <c r="G54" s="1404"/>
      <c r="H54" s="1404"/>
      <c r="I54" s="258"/>
      <c r="J54" s="260"/>
      <c r="K54" s="259"/>
      <c r="L54" s="258"/>
      <c r="M54" s="260"/>
      <c r="N54" s="258"/>
    </row>
    <row r="55" spans="1:14" s="266" customFormat="1" ht="12" hidden="1">
      <c r="A55" s="1393"/>
      <c r="B55" s="1393"/>
      <c r="C55" s="1557"/>
      <c r="D55" s="1258"/>
      <c r="E55" s="1258"/>
      <c r="F55" s="1414"/>
      <c r="G55" s="1414"/>
      <c r="H55" s="1414"/>
      <c r="I55" s="415"/>
      <c r="J55" s="302"/>
      <c r="K55" s="431"/>
      <c r="L55" s="415"/>
      <c r="M55" s="302"/>
      <c r="N55" s="415"/>
    </row>
    <row r="56" spans="1:14" s="266" customFormat="1" ht="12" hidden="1">
      <c r="A56" s="1394">
        <v>32</v>
      </c>
      <c r="B56" s="1394"/>
      <c r="C56" s="1409"/>
      <c r="D56" s="1401"/>
      <c r="E56" s="1401"/>
      <c r="F56" s="1404"/>
      <c r="G56" s="1404"/>
      <c r="H56" s="1404"/>
      <c r="I56" s="258"/>
      <c r="J56" s="260"/>
      <c r="K56" s="259"/>
      <c r="L56" s="258"/>
      <c r="M56" s="260"/>
      <c r="N56" s="258"/>
    </row>
    <row r="57" spans="1:14" s="266" customFormat="1" ht="15.75" customHeight="1" hidden="1">
      <c r="A57" s="1393"/>
      <c r="B57" s="1393"/>
      <c r="C57" s="1557"/>
      <c r="D57" s="1258"/>
      <c r="E57" s="1258"/>
      <c r="F57" s="1414"/>
      <c r="G57" s="1414"/>
      <c r="H57" s="1414"/>
      <c r="I57" s="415"/>
      <c r="J57" s="302"/>
      <c r="K57" s="431"/>
      <c r="L57" s="415"/>
      <c r="M57" s="302"/>
      <c r="N57" s="415"/>
    </row>
    <row r="58" spans="1:14" s="272" customFormat="1" ht="12">
      <c r="A58" s="1642"/>
      <c r="B58" s="270"/>
      <c r="C58" s="1638" t="s">
        <v>141</v>
      </c>
      <c r="D58" s="1640"/>
      <c r="E58" s="1636"/>
      <c r="F58" s="1634">
        <f aca="true" t="shared" si="4" ref="F58:N58">F8+F10+F12+F14+F16+F18+F20+F22+F24+F26+F28+F30+F32+F34+F36+F38+F40+F42+F44+F46+F48+F50+F52+F54+F56</f>
        <v>140.88799999999998</v>
      </c>
      <c r="G58" s="1634">
        <f t="shared" si="4"/>
        <v>137.259</v>
      </c>
      <c r="H58" s="1634">
        <f t="shared" si="4"/>
        <v>3.6290000000000004</v>
      </c>
      <c r="I58" s="299">
        <f t="shared" si="4"/>
        <v>13</v>
      </c>
      <c r="J58" s="299">
        <f t="shared" si="4"/>
        <v>12</v>
      </c>
      <c r="K58" s="299">
        <f t="shared" si="4"/>
        <v>1</v>
      </c>
      <c r="L58" s="299">
        <f t="shared" si="4"/>
        <v>81</v>
      </c>
      <c r="M58" s="299">
        <f t="shared" si="4"/>
        <v>76</v>
      </c>
      <c r="N58" s="299">
        <f t="shared" si="4"/>
        <v>5</v>
      </c>
    </row>
    <row r="59" spans="1:14" s="2" customFormat="1" ht="14.25" customHeight="1">
      <c r="A59" s="1643"/>
      <c r="B59" s="150"/>
      <c r="C59" s="1639"/>
      <c r="D59" s="1641"/>
      <c r="E59" s="1637"/>
      <c r="F59" s="1635"/>
      <c r="G59" s="1635"/>
      <c r="H59" s="1635"/>
      <c r="I59" s="198">
        <f aca="true" t="shared" si="5" ref="I59:N59">I9+I11+I13+I15+I17+I19+I21+I23+I25+I27+I29+I31+I33+I35+I37+I39+I41+I43+I45+I47+I49+I51+I53+I55+I57</f>
        <v>516.8700000000001</v>
      </c>
      <c r="J59" s="44">
        <f t="shared" si="5"/>
        <v>450.67</v>
      </c>
      <c r="K59" s="44">
        <f t="shared" si="5"/>
        <v>66.2</v>
      </c>
      <c r="L59" s="44">
        <f t="shared" si="5"/>
        <v>1405</v>
      </c>
      <c r="M59" s="44">
        <f t="shared" si="5"/>
        <v>1330</v>
      </c>
      <c r="N59" s="44">
        <f t="shared" si="5"/>
        <v>75</v>
      </c>
    </row>
    <row r="60" spans="1:8" ht="14.25" customHeight="1">
      <c r="A60" s="151"/>
      <c r="B60" s="153"/>
      <c r="C60" s="1151" t="s">
        <v>454</v>
      </c>
      <c r="D60" s="62" t="s">
        <v>450</v>
      </c>
      <c r="E60" s="66"/>
      <c r="F60" s="71">
        <f>SUMIF($D$8:$D$57,"=I",F8:F57)</f>
        <v>0</v>
      </c>
      <c r="G60" s="71">
        <f>SUMIF($D$8:$D$57,"=I",G8:G57)</f>
        <v>0</v>
      </c>
      <c r="H60" s="71">
        <f>SUMIF($D$8:$D$57,"=I",H8:H57)</f>
        <v>0</v>
      </c>
    </row>
    <row r="61" spans="1:8" ht="14.25" customHeight="1">
      <c r="A61" s="151"/>
      <c r="B61" s="153"/>
      <c r="C61" s="1151"/>
      <c r="D61" s="65" t="s">
        <v>100</v>
      </c>
      <c r="E61" s="66"/>
      <c r="F61" s="97">
        <f>SUMIF($D$8:$D$57,"=II",F8:F57)</f>
        <v>6.6</v>
      </c>
      <c r="G61" s="97">
        <f>SUMIF($D$8:$D$57,"=II",G8:G57)</f>
        <v>6.6</v>
      </c>
      <c r="H61" s="71">
        <f>SUMIF($D$8:$D$57,"=II",H8:H57)</f>
        <v>0</v>
      </c>
    </row>
    <row r="62" spans="1:8" ht="12.75">
      <c r="A62" s="151"/>
      <c r="B62" s="153"/>
      <c r="C62" s="1151"/>
      <c r="D62" s="62" t="s">
        <v>102</v>
      </c>
      <c r="E62" s="66"/>
      <c r="F62" s="97">
        <f>SUMIF($D$8:$D$57,"=III",F8:F57)</f>
        <v>38.19</v>
      </c>
      <c r="G62" s="97">
        <f>SUMIF($D$8:$D$57,"=III",G8:G57)</f>
        <v>38.19</v>
      </c>
      <c r="H62" s="71">
        <f>SUMIF($D$8:$D$57,"=III",H8:H57)</f>
        <v>0</v>
      </c>
    </row>
    <row r="63" spans="1:8" ht="16.5" customHeight="1">
      <c r="A63" s="152"/>
      <c r="B63" s="154"/>
      <c r="C63" s="1151"/>
      <c r="D63" s="66" t="s">
        <v>27</v>
      </c>
      <c r="E63" s="72"/>
      <c r="F63" s="97">
        <f>SUMIF($D$8:$D$57,"=IV",F8:F57)</f>
        <v>96.09799999999997</v>
      </c>
      <c r="G63" s="97">
        <f>SUMIF($D$8:$D$57,"=IV",G8:G57)</f>
        <v>92.46899999999998</v>
      </c>
      <c r="H63" s="71">
        <f>SUMIF($D$8:$D$57,"=IV",H8:H57)</f>
        <v>3.6290000000000004</v>
      </c>
    </row>
    <row r="64" spans="3:8" ht="19.5" customHeight="1">
      <c r="C64" s="7"/>
      <c r="D64" s="7"/>
      <c r="F64" s="121"/>
      <c r="G64" s="52"/>
      <c r="H64" s="52"/>
    </row>
    <row r="65" spans="3:9" ht="12.75">
      <c r="C65" s="7"/>
      <c r="D65" s="7"/>
      <c r="F65" s="121"/>
      <c r="G65" s="121"/>
      <c r="H65" s="121"/>
      <c r="I65" t="s">
        <v>274</v>
      </c>
    </row>
    <row r="66" spans="3:4" ht="12.75">
      <c r="C66" s="7"/>
      <c r="D66" s="7"/>
    </row>
    <row r="67" ht="12.75">
      <c r="J67" s="46"/>
    </row>
    <row r="68" ht="12.75">
      <c r="J68" s="46"/>
    </row>
  </sheetData>
  <sheetProtection/>
  <mergeCells count="225">
    <mergeCell ref="M6:N6"/>
    <mergeCell ref="H26:H27"/>
    <mergeCell ref="H34:H35"/>
    <mergeCell ref="H30:H31"/>
    <mergeCell ref="H32:H33"/>
    <mergeCell ref="H24:H25"/>
    <mergeCell ref="C60:C63"/>
    <mergeCell ref="C30:C31"/>
    <mergeCell ref="D38:D39"/>
    <mergeCell ref="E30:E31"/>
    <mergeCell ref="C34:C35"/>
    <mergeCell ref="C38:C39"/>
    <mergeCell ref="D44:D45"/>
    <mergeCell ref="D40:D41"/>
    <mergeCell ref="E36:E37"/>
    <mergeCell ref="C44:C45"/>
    <mergeCell ref="E32:E33"/>
    <mergeCell ref="D34:D35"/>
    <mergeCell ref="C28:C29"/>
    <mergeCell ref="D30:D31"/>
    <mergeCell ref="C32:C33"/>
    <mergeCell ref="D32:D33"/>
    <mergeCell ref="E34:E35"/>
    <mergeCell ref="E28:E29"/>
    <mergeCell ref="D14:D15"/>
    <mergeCell ref="G20:G21"/>
    <mergeCell ref="F18:F19"/>
    <mergeCell ref="F8:F9"/>
    <mergeCell ref="F16:F17"/>
    <mergeCell ref="F14:F15"/>
    <mergeCell ref="G14:G15"/>
    <mergeCell ref="G12:G13"/>
    <mergeCell ref="G18:G19"/>
    <mergeCell ref="G10:G11"/>
    <mergeCell ref="A20:A21"/>
    <mergeCell ref="B20:B21"/>
    <mergeCell ref="D26:D27"/>
    <mergeCell ref="F28:F29"/>
    <mergeCell ref="D18:D19"/>
    <mergeCell ref="D20:D21"/>
    <mergeCell ref="D28:D29"/>
    <mergeCell ref="E20:E21"/>
    <mergeCell ref="E18:E19"/>
    <mergeCell ref="E24:E25"/>
    <mergeCell ref="A12:A13"/>
    <mergeCell ref="C10:C11"/>
    <mergeCell ref="A26:A27"/>
    <mergeCell ref="C18:C19"/>
    <mergeCell ref="B18:B19"/>
    <mergeCell ref="A18:A19"/>
    <mergeCell ref="C24:C25"/>
    <mergeCell ref="C20:C21"/>
    <mergeCell ref="A22:A23"/>
    <mergeCell ref="B22:B23"/>
    <mergeCell ref="E5:E7"/>
    <mergeCell ref="C12:C13"/>
    <mergeCell ref="A8:A9"/>
    <mergeCell ref="B8:B9"/>
    <mergeCell ref="D8:D9"/>
    <mergeCell ref="A24:A25"/>
    <mergeCell ref="B24:B25"/>
    <mergeCell ref="B12:B13"/>
    <mergeCell ref="C16:C17"/>
    <mergeCell ref="A10:A11"/>
    <mergeCell ref="D5:D7"/>
    <mergeCell ref="I6:I7"/>
    <mergeCell ref="C5:C7"/>
    <mergeCell ref="E12:E13"/>
    <mergeCell ref="F12:F13"/>
    <mergeCell ref="B10:B11"/>
    <mergeCell ref="E8:E9"/>
    <mergeCell ref="C8:C9"/>
    <mergeCell ref="D12:D13"/>
    <mergeCell ref="D10:D11"/>
    <mergeCell ref="A1:N1"/>
    <mergeCell ref="A2:N2"/>
    <mergeCell ref="A3:N3"/>
    <mergeCell ref="J6:K6"/>
    <mergeCell ref="I5:K5"/>
    <mergeCell ref="H6:H7"/>
    <mergeCell ref="A5:A7"/>
    <mergeCell ref="B5:B7"/>
    <mergeCell ref="G5:H5"/>
    <mergeCell ref="F5:F7"/>
    <mergeCell ref="B16:B17"/>
    <mergeCell ref="G6:G7"/>
    <mergeCell ref="F10:F11"/>
    <mergeCell ref="H12:H13"/>
    <mergeCell ref="D16:D17"/>
    <mergeCell ref="E10:E11"/>
    <mergeCell ref="E16:E17"/>
    <mergeCell ref="E14:E15"/>
    <mergeCell ref="H10:H11"/>
    <mergeCell ref="H14:H15"/>
    <mergeCell ref="A32:A33"/>
    <mergeCell ref="B32:B33"/>
    <mergeCell ref="B34:B35"/>
    <mergeCell ref="C14:C15"/>
    <mergeCell ref="C22:C23"/>
    <mergeCell ref="B26:B27"/>
    <mergeCell ref="A14:A15"/>
    <mergeCell ref="A16:A17"/>
    <mergeCell ref="C26:C27"/>
    <mergeCell ref="B14:B15"/>
    <mergeCell ref="A28:A29"/>
    <mergeCell ref="B28:B29"/>
    <mergeCell ref="A30:A31"/>
    <mergeCell ref="B30:B31"/>
    <mergeCell ref="A58:A59"/>
    <mergeCell ref="A38:A39"/>
    <mergeCell ref="A34:A35"/>
    <mergeCell ref="A50:A51"/>
    <mergeCell ref="A40:A41"/>
    <mergeCell ref="A42:A43"/>
    <mergeCell ref="A46:A47"/>
    <mergeCell ref="A44:A45"/>
    <mergeCell ref="A36:A37"/>
    <mergeCell ref="A56:A57"/>
    <mergeCell ref="B56:B57"/>
    <mergeCell ref="A48:A49"/>
    <mergeCell ref="A54:A55"/>
    <mergeCell ref="A52:A53"/>
    <mergeCell ref="B54:B55"/>
    <mergeCell ref="B52:B53"/>
    <mergeCell ref="B50:B51"/>
    <mergeCell ref="B38:B39"/>
    <mergeCell ref="B36:B37"/>
    <mergeCell ref="B46:B47"/>
    <mergeCell ref="C48:C49"/>
    <mergeCell ref="B40:B41"/>
    <mergeCell ref="B44:B45"/>
    <mergeCell ref="B42:B43"/>
    <mergeCell ref="B48:B49"/>
    <mergeCell ref="C36:C37"/>
    <mergeCell ref="C58:C59"/>
    <mergeCell ref="C54:C55"/>
    <mergeCell ref="C52:C53"/>
    <mergeCell ref="D58:D59"/>
    <mergeCell ref="D56:D57"/>
    <mergeCell ref="C56:C57"/>
    <mergeCell ref="D54:D55"/>
    <mergeCell ref="D52:D53"/>
    <mergeCell ref="E42:E43"/>
    <mergeCell ref="D46:D47"/>
    <mergeCell ref="F42:F43"/>
    <mergeCell ref="D36:D37"/>
    <mergeCell ref="C40:C41"/>
    <mergeCell ref="C50:C51"/>
    <mergeCell ref="F36:F37"/>
    <mergeCell ref="G48:G49"/>
    <mergeCell ref="D50:D51"/>
    <mergeCell ref="H48:H49"/>
    <mergeCell ref="C42:C43"/>
    <mergeCell ref="E44:E45"/>
    <mergeCell ref="D48:D49"/>
    <mergeCell ref="C46:C47"/>
    <mergeCell ref="D42:D43"/>
    <mergeCell ref="F44:F45"/>
    <mergeCell ref="E46:E47"/>
    <mergeCell ref="G58:G59"/>
    <mergeCell ref="H54:H55"/>
    <mergeCell ref="H52:H53"/>
    <mergeCell ref="G50:G51"/>
    <mergeCell ref="F52:F53"/>
    <mergeCell ref="H56:H57"/>
    <mergeCell ref="H50:H51"/>
    <mergeCell ref="G52:G53"/>
    <mergeCell ref="F56:F57"/>
    <mergeCell ref="F54:F55"/>
    <mergeCell ref="E56:E57"/>
    <mergeCell ref="F48:F49"/>
    <mergeCell ref="E58:E59"/>
    <mergeCell ref="F58:F59"/>
    <mergeCell ref="G56:G57"/>
    <mergeCell ref="G54:G55"/>
    <mergeCell ref="E48:E49"/>
    <mergeCell ref="E54:E55"/>
    <mergeCell ref="E50:E51"/>
    <mergeCell ref="F50:F51"/>
    <mergeCell ref="E52:E53"/>
    <mergeCell ref="F46:F47"/>
    <mergeCell ref="H38:H39"/>
    <mergeCell ref="H46:H47"/>
    <mergeCell ref="G44:G45"/>
    <mergeCell ref="H42:H43"/>
    <mergeCell ref="G46:G47"/>
    <mergeCell ref="G42:G43"/>
    <mergeCell ref="G40:G41"/>
    <mergeCell ref="G38:G39"/>
    <mergeCell ref="L6:L7"/>
    <mergeCell ref="G30:G31"/>
    <mergeCell ref="F40:F41"/>
    <mergeCell ref="F34:F35"/>
    <mergeCell ref="F38:F39"/>
    <mergeCell ref="G16:G17"/>
    <mergeCell ref="H40:H41"/>
    <mergeCell ref="G32:G33"/>
    <mergeCell ref="H36:H37"/>
    <mergeCell ref="F30:F31"/>
    <mergeCell ref="H22:H23"/>
    <mergeCell ref="G22:G23"/>
    <mergeCell ref="G36:G37"/>
    <mergeCell ref="E40:E41"/>
    <mergeCell ref="E38:E39"/>
    <mergeCell ref="G34:G35"/>
    <mergeCell ref="D22:D23"/>
    <mergeCell ref="D24:D25"/>
    <mergeCell ref="E22:E23"/>
    <mergeCell ref="G28:G29"/>
    <mergeCell ref="F26:F27"/>
    <mergeCell ref="F32:F33"/>
    <mergeCell ref="H28:H29"/>
    <mergeCell ref="E26:E27"/>
    <mergeCell ref="H18:H19"/>
    <mergeCell ref="F24:F25"/>
    <mergeCell ref="F22:F23"/>
    <mergeCell ref="G24:G25"/>
    <mergeCell ref="G26:G27"/>
    <mergeCell ref="F20:F21"/>
    <mergeCell ref="H44:H45"/>
    <mergeCell ref="L5:N5"/>
    <mergeCell ref="H20:H21"/>
    <mergeCell ref="H58:H59"/>
    <mergeCell ref="G8:G9"/>
    <mergeCell ref="H16:H17"/>
  </mergeCells>
  <printOptions/>
  <pageMargins left="0.7086614173228347" right="0.2755905511811024" top="0.7874015748031497" bottom="0.2362204724409449" header="0.5118110236220472" footer="0.2755905511811024"/>
  <pageSetup firstPageNumber="20" useFirstPageNumber="1" fitToHeight="2" fitToWidth="1" horizontalDpi="600" verticalDpi="600" orientation="landscape" paperSize="9" scale="99" r:id="rId1"/>
  <headerFooter alignWithMargins="0"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N90"/>
  <sheetViews>
    <sheetView view="pageBreakPreview" zoomScaleSheetLayoutView="100" zoomScalePageLayoutView="0" workbookViewId="0" topLeftCell="A1">
      <selection activeCell="O1" sqref="O1:AB16384"/>
    </sheetView>
  </sheetViews>
  <sheetFormatPr defaultColWidth="9.00390625" defaultRowHeight="12.75"/>
  <cols>
    <col min="1" max="1" width="4.25390625" style="0" customWidth="1"/>
    <col min="2" max="2" width="12.00390625" style="53" customWidth="1"/>
    <col min="3" max="3" width="32.125" style="0" customWidth="1"/>
    <col min="4" max="4" width="6.875" style="0" customWidth="1"/>
    <col min="5" max="5" width="8.875" style="0" customWidth="1"/>
    <col min="6" max="6" width="8.625" style="0" customWidth="1"/>
    <col min="7" max="7" width="7.375" style="0" customWidth="1"/>
    <col min="8" max="8" width="7.25390625" style="0" customWidth="1"/>
    <col min="9" max="9" width="8.00390625" style="0" customWidth="1"/>
    <col min="10" max="10" width="7.25390625" style="0" customWidth="1"/>
    <col min="11" max="11" width="8.125" style="0" customWidth="1"/>
    <col min="12" max="12" width="6.00390625" style="0" customWidth="1"/>
    <col min="13" max="13" width="6.125" style="0" customWidth="1"/>
    <col min="14" max="14" width="8.6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1230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5.75" customHeight="1">
      <c r="A3" s="1202" t="s">
        <v>1517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spans="1:14" s="19" customFormat="1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2.7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24.75" customHeight="1" thickBot="1">
      <c r="A7" s="1226"/>
      <c r="B7" s="1204"/>
      <c r="C7" s="1214"/>
      <c r="D7" s="1207"/>
      <c r="E7" s="1212"/>
      <c r="F7" s="1204"/>
      <c r="G7" s="1207"/>
      <c r="H7" s="1441"/>
      <c r="I7" s="1355"/>
      <c r="J7" s="21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2">
      <c r="A8" s="1228">
        <v>1</v>
      </c>
      <c r="B8" s="1189" t="s">
        <v>736</v>
      </c>
      <c r="C8" s="1191" t="s">
        <v>25</v>
      </c>
      <c r="D8" s="1673" t="s">
        <v>27</v>
      </c>
      <c r="E8" s="563" t="s">
        <v>564</v>
      </c>
      <c r="F8" s="1674">
        <f>G8+H8</f>
        <v>56.546</v>
      </c>
      <c r="G8" s="1671">
        <v>54.869</v>
      </c>
      <c r="H8" s="1671">
        <v>1.677</v>
      </c>
      <c r="I8" s="502">
        <f aca="true" t="shared" si="0" ref="I8:I17">J8+K8</f>
        <v>4</v>
      </c>
      <c r="J8" s="506">
        <f>3+1</f>
        <v>4</v>
      </c>
      <c r="K8" s="504">
        <v>0</v>
      </c>
      <c r="L8" s="502">
        <f aca="true" t="shared" si="1" ref="L8:L15">M8+N8</f>
        <v>34</v>
      </c>
      <c r="M8" s="506">
        <v>30</v>
      </c>
      <c r="N8" s="502">
        <v>4</v>
      </c>
    </row>
    <row r="9" spans="1:14" s="266" customFormat="1" ht="78" customHeight="1" thickBot="1">
      <c r="A9" s="1229"/>
      <c r="B9" s="1190"/>
      <c r="C9" s="1192"/>
      <c r="D9" s="1644"/>
      <c r="E9" s="564" t="s">
        <v>565</v>
      </c>
      <c r="F9" s="1675"/>
      <c r="G9" s="1672"/>
      <c r="H9" s="1672"/>
      <c r="I9" s="891">
        <f t="shared" si="0"/>
        <v>171.17000000000002</v>
      </c>
      <c r="J9" s="953">
        <f>114.28+56.89</f>
        <v>171.17000000000002</v>
      </c>
      <c r="K9" s="924">
        <v>0</v>
      </c>
      <c r="L9" s="891">
        <f t="shared" si="1"/>
        <v>870</v>
      </c>
      <c r="M9" s="953">
        <v>757</v>
      </c>
      <c r="N9" s="891">
        <v>113</v>
      </c>
    </row>
    <row r="10" spans="1:14" s="266" customFormat="1" ht="12">
      <c r="A10" s="1167">
        <v>2</v>
      </c>
      <c r="B10" s="1169" t="s">
        <v>938</v>
      </c>
      <c r="C10" s="1182" t="s">
        <v>521</v>
      </c>
      <c r="D10" s="1180" t="s">
        <v>27</v>
      </c>
      <c r="E10" s="1169" t="s">
        <v>1448</v>
      </c>
      <c r="F10" s="1169">
        <f>G10+H10</f>
        <v>5.054</v>
      </c>
      <c r="G10" s="1178">
        <v>0</v>
      </c>
      <c r="H10" s="1184">
        <v>5.054</v>
      </c>
      <c r="I10" s="644">
        <f t="shared" si="0"/>
        <v>0</v>
      </c>
      <c r="J10" s="645">
        <v>0</v>
      </c>
      <c r="K10" s="646">
        <v>0</v>
      </c>
      <c r="L10" s="644">
        <f t="shared" si="1"/>
        <v>4</v>
      </c>
      <c r="M10" s="645">
        <v>3</v>
      </c>
      <c r="N10" s="644">
        <v>1</v>
      </c>
    </row>
    <row r="11" spans="1:14" s="266" customFormat="1" ht="33.75" customHeight="1" thickBot="1">
      <c r="A11" s="1168"/>
      <c r="B11" s="1170"/>
      <c r="C11" s="1183"/>
      <c r="D11" s="1181"/>
      <c r="E11" s="1170"/>
      <c r="F11" s="1170"/>
      <c r="G11" s="1179"/>
      <c r="H11" s="1185"/>
      <c r="I11" s="883">
        <f t="shared" si="0"/>
        <v>0</v>
      </c>
      <c r="J11" s="990">
        <v>0</v>
      </c>
      <c r="K11" s="915">
        <v>0</v>
      </c>
      <c r="L11" s="883">
        <f t="shared" si="1"/>
        <v>56</v>
      </c>
      <c r="M11" s="990">
        <v>41</v>
      </c>
      <c r="N11" s="883">
        <v>15</v>
      </c>
    </row>
    <row r="12" spans="1:14" s="266" customFormat="1" ht="12">
      <c r="A12" s="1167">
        <v>3</v>
      </c>
      <c r="B12" s="1169" t="s">
        <v>940</v>
      </c>
      <c r="C12" s="1182" t="s">
        <v>522</v>
      </c>
      <c r="D12" s="1180" t="s">
        <v>27</v>
      </c>
      <c r="E12" s="1169" t="s">
        <v>13</v>
      </c>
      <c r="F12" s="1367">
        <f>G12+H12</f>
        <v>1</v>
      </c>
      <c r="G12" s="1178">
        <v>1</v>
      </c>
      <c r="H12" s="1178">
        <v>0</v>
      </c>
      <c r="I12" s="644">
        <f t="shared" si="0"/>
        <v>0</v>
      </c>
      <c r="J12" s="645">
        <v>0</v>
      </c>
      <c r="K12" s="646">
        <v>0</v>
      </c>
      <c r="L12" s="644">
        <f t="shared" si="1"/>
        <v>0</v>
      </c>
      <c r="M12" s="645">
        <v>0</v>
      </c>
      <c r="N12" s="644">
        <v>0</v>
      </c>
    </row>
    <row r="13" spans="1:14" s="266" customFormat="1" ht="19.5" customHeight="1" thickBot="1">
      <c r="A13" s="1168"/>
      <c r="B13" s="1170"/>
      <c r="C13" s="1183"/>
      <c r="D13" s="1181"/>
      <c r="E13" s="1170"/>
      <c r="F13" s="1368"/>
      <c r="G13" s="1179"/>
      <c r="H13" s="1179"/>
      <c r="I13" s="883">
        <f t="shared" si="0"/>
        <v>0</v>
      </c>
      <c r="J13" s="990">
        <v>0</v>
      </c>
      <c r="K13" s="915">
        <v>0</v>
      </c>
      <c r="L13" s="883">
        <f t="shared" si="1"/>
        <v>0</v>
      </c>
      <c r="M13" s="990">
        <v>0</v>
      </c>
      <c r="N13" s="883">
        <v>0</v>
      </c>
    </row>
    <row r="14" spans="1:14" s="266" customFormat="1" ht="12">
      <c r="A14" s="1167">
        <v>4</v>
      </c>
      <c r="B14" s="1169" t="s">
        <v>943</v>
      </c>
      <c r="C14" s="1182" t="s">
        <v>429</v>
      </c>
      <c r="D14" s="1180" t="s">
        <v>27</v>
      </c>
      <c r="E14" s="1169" t="s">
        <v>566</v>
      </c>
      <c r="F14" s="1169">
        <f>G14+H14</f>
        <v>8.219999999999999</v>
      </c>
      <c r="G14" s="1184">
        <v>2.848</v>
      </c>
      <c r="H14" s="1184">
        <v>5.372</v>
      </c>
      <c r="I14" s="644">
        <f t="shared" si="0"/>
        <v>1</v>
      </c>
      <c r="J14" s="645">
        <v>1</v>
      </c>
      <c r="K14" s="646">
        <v>0</v>
      </c>
      <c r="L14" s="644">
        <f t="shared" si="1"/>
        <v>3</v>
      </c>
      <c r="M14" s="645">
        <v>3</v>
      </c>
      <c r="N14" s="644">
        <v>0</v>
      </c>
    </row>
    <row r="15" spans="1:14" s="266" customFormat="1" ht="18" customHeight="1" thickBot="1">
      <c r="A15" s="1168"/>
      <c r="B15" s="1170"/>
      <c r="C15" s="1183"/>
      <c r="D15" s="1181"/>
      <c r="E15" s="1170"/>
      <c r="F15" s="1170"/>
      <c r="G15" s="1185"/>
      <c r="H15" s="1185"/>
      <c r="I15" s="883">
        <f t="shared" si="0"/>
        <v>52.78</v>
      </c>
      <c r="J15" s="990">
        <v>52.78</v>
      </c>
      <c r="K15" s="915">
        <v>0</v>
      </c>
      <c r="L15" s="883">
        <f t="shared" si="1"/>
        <v>45</v>
      </c>
      <c r="M15" s="990">
        <v>45</v>
      </c>
      <c r="N15" s="883">
        <v>0</v>
      </c>
    </row>
    <row r="16" spans="1:14" s="266" customFormat="1" ht="12">
      <c r="A16" s="1167">
        <v>5</v>
      </c>
      <c r="B16" s="1169" t="s">
        <v>945</v>
      </c>
      <c r="C16" s="1232" t="s">
        <v>523</v>
      </c>
      <c r="D16" s="1180" t="s">
        <v>27</v>
      </c>
      <c r="E16" s="1169" t="s">
        <v>1449</v>
      </c>
      <c r="F16" s="1184">
        <f>G16+H16</f>
        <v>1.025</v>
      </c>
      <c r="G16" s="1184">
        <v>0.125</v>
      </c>
      <c r="H16" s="1184">
        <v>0.9</v>
      </c>
      <c r="I16" s="644">
        <f t="shared" si="0"/>
        <v>1</v>
      </c>
      <c r="J16" s="645">
        <v>1</v>
      </c>
      <c r="K16" s="646">
        <v>0</v>
      </c>
      <c r="L16" s="644">
        <v>0</v>
      </c>
      <c r="M16" s="645">
        <v>0</v>
      </c>
      <c r="N16" s="644">
        <v>0</v>
      </c>
    </row>
    <row r="17" spans="1:14" s="266" customFormat="1" ht="21" customHeight="1" thickBot="1">
      <c r="A17" s="1168"/>
      <c r="B17" s="1170"/>
      <c r="C17" s="1233"/>
      <c r="D17" s="1181"/>
      <c r="E17" s="1170"/>
      <c r="F17" s="1185"/>
      <c r="G17" s="1185"/>
      <c r="H17" s="1185"/>
      <c r="I17" s="885">
        <f t="shared" si="0"/>
        <v>24</v>
      </c>
      <c r="J17" s="650">
        <v>24</v>
      </c>
      <c r="K17" s="915">
        <v>0</v>
      </c>
      <c r="L17" s="883">
        <f>M17+N17</f>
        <v>0</v>
      </c>
      <c r="M17" s="990">
        <v>0</v>
      </c>
      <c r="N17" s="883">
        <v>0</v>
      </c>
    </row>
    <row r="18" spans="1:14" s="266" customFormat="1" ht="12.75" hidden="1" thickBot="1">
      <c r="A18" s="1167"/>
      <c r="B18" s="1169"/>
      <c r="C18" s="1232"/>
      <c r="D18" s="1180"/>
      <c r="E18" s="1169"/>
      <c r="F18" s="1169"/>
      <c r="G18" s="1178"/>
      <c r="H18" s="1178"/>
      <c r="I18" s="652"/>
      <c r="J18" s="706"/>
      <c r="K18" s="654"/>
      <c r="L18" s="652"/>
      <c r="M18" s="706"/>
      <c r="N18" s="652"/>
    </row>
    <row r="19" spans="1:14" s="266" customFormat="1" ht="12.75" hidden="1" thickBot="1">
      <c r="A19" s="1168"/>
      <c r="B19" s="1170"/>
      <c r="C19" s="1233"/>
      <c r="D19" s="1181"/>
      <c r="E19" s="1170"/>
      <c r="F19" s="1170"/>
      <c r="G19" s="1179"/>
      <c r="H19" s="1179"/>
      <c r="I19" s="880"/>
      <c r="J19" s="605"/>
      <c r="K19" s="914"/>
      <c r="L19" s="880"/>
      <c r="M19" s="605"/>
      <c r="N19" s="880"/>
    </row>
    <row r="20" spans="1:14" s="266" customFormat="1" ht="12">
      <c r="A20" s="1167">
        <v>6</v>
      </c>
      <c r="B20" s="1169" t="s">
        <v>948</v>
      </c>
      <c r="C20" s="1182" t="s">
        <v>520</v>
      </c>
      <c r="D20" s="1180" t="s">
        <v>27</v>
      </c>
      <c r="E20" s="1173" t="s">
        <v>716</v>
      </c>
      <c r="F20" s="1169">
        <f>G20+H20</f>
        <v>2.925</v>
      </c>
      <c r="G20" s="1184">
        <v>2.925</v>
      </c>
      <c r="H20" s="1178">
        <v>0</v>
      </c>
      <c r="I20" s="644">
        <f aca="true" t="shared" si="2" ref="I20:I27">J20+K20</f>
        <v>0</v>
      </c>
      <c r="J20" s="645">
        <v>0</v>
      </c>
      <c r="K20" s="646">
        <v>0</v>
      </c>
      <c r="L20" s="644">
        <f aca="true" t="shared" si="3" ref="L20:L27">M20+N20</f>
        <v>2</v>
      </c>
      <c r="M20" s="645">
        <v>0</v>
      </c>
      <c r="N20" s="644">
        <v>2</v>
      </c>
    </row>
    <row r="21" spans="1:14" s="266" customFormat="1" ht="21" customHeight="1" thickBot="1">
      <c r="A21" s="1168"/>
      <c r="B21" s="1170"/>
      <c r="C21" s="1183"/>
      <c r="D21" s="1181"/>
      <c r="E21" s="1174"/>
      <c r="F21" s="1170"/>
      <c r="G21" s="1185"/>
      <c r="H21" s="1179"/>
      <c r="I21" s="883">
        <f t="shared" si="2"/>
        <v>0</v>
      </c>
      <c r="J21" s="990">
        <v>0</v>
      </c>
      <c r="K21" s="915">
        <v>0</v>
      </c>
      <c r="L21" s="883">
        <f t="shared" si="3"/>
        <v>32</v>
      </c>
      <c r="M21" s="990">
        <v>0</v>
      </c>
      <c r="N21" s="883">
        <v>32</v>
      </c>
    </row>
    <row r="22" spans="1:14" s="266" customFormat="1" ht="12">
      <c r="A22" s="1167">
        <v>7</v>
      </c>
      <c r="B22" s="1169" t="s">
        <v>949</v>
      </c>
      <c r="C22" s="1182" t="s">
        <v>519</v>
      </c>
      <c r="D22" s="1180" t="s">
        <v>27</v>
      </c>
      <c r="E22" s="1173" t="s">
        <v>567</v>
      </c>
      <c r="F22" s="1169">
        <f>G22+H22</f>
        <v>1.74</v>
      </c>
      <c r="G22" s="1178">
        <v>0</v>
      </c>
      <c r="H22" s="1591">
        <v>1.74</v>
      </c>
      <c r="I22" s="644">
        <f t="shared" si="2"/>
        <v>0</v>
      </c>
      <c r="J22" s="645">
        <v>0</v>
      </c>
      <c r="K22" s="646">
        <v>0</v>
      </c>
      <c r="L22" s="644">
        <f t="shared" si="3"/>
        <v>0</v>
      </c>
      <c r="M22" s="645">
        <v>0</v>
      </c>
      <c r="N22" s="644">
        <v>0</v>
      </c>
    </row>
    <row r="23" spans="1:14" s="266" customFormat="1" ht="30" customHeight="1" thickBot="1">
      <c r="A23" s="1168"/>
      <c r="B23" s="1170"/>
      <c r="C23" s="1183"/>
      <c r="D23" s="1181"/>
      <c r="E23" s="1174"/>
      <c r="F23" s="1170"/>
      <c r="G23" s="1179"/>
      <c r="H23" s="1592"/>
      <c r="I23" s="883">
        <f t="shared" si="2"/>
        <v>0</v>
      </c>
      <c r="J23" s="990">
        <v>0</v>
      </c>
      <c r="K23" s="915">
        <v>0</v>
      </c>
      <c r="L23" s="883">
        <f t="shared" si="3"/>
        <v>0</v>
      </c>
      <c r="M23" s="990">
        <v>0</v>
      </c>
      <c r="N23" s="883">
        <v>0</v>
      </c>
    </row>
    <row r="24" spans="1:14" s="266" customFormat="1" ht="12">
      <c r="A24" s="1167">
        <v>8</v>
      </c>
      <c r="B24" s="1169" t="s">
        <v>952</v>
      </c>
      <c r="C24" s="1182" t="s">
        <v>271</v>
      </c>
      <c r="D24" s="1180" t="s">
        <v>27</v>
      </c>
      <c r="E24" s="1173" t="s">
        <v>21</v>
      </c>
      <c r="F24" s="1169">
        <f>G24+H24</f>
        <v>10</v>
      </c>
      <c r="G24" s="1178">
        <v>10</v>
      </c>
      <c r="H24" s="1659">
        <v>0</v>
      </c>
      <c r="I24" s="644">
        <f t="shared" si="2"/>
        <v>0</v>
      </c>
      <c r="J24" s="645">
        <v>0</v>
      </c>
      <c r="K24" s="646">
        <v>0</v>
      </c>
      <c r="L24" s="644">
        <f t="shared" si="3"/>
        <v>2</v>
      </c>
      <c r="M24" s="645">
        <v>2</v>
      </c>
      <c r="N24" s="644">
        <v>0</v>
      </c>
    </row>
    <row r="25" spans="1:14" s="266" customFormat="1" ht="17.25" customHeight="1" thickBot="1">
      <c r="A25" s="1168"/>
      <c r="B25" s="1170"/>
      <c r="C25" s="1183"/>
      <c r="D25" s="1181"/>
      <c r="E25" s="1174"/>
      <c r="F25" s="1170"/>
      <c r="G25" s="1179"/>
      <c r="H25" s="1660"/>
      <c r="I25" s="883">
        <f t="shared" si="2"/>
        <v>0</v>
      </c>
      <c r="J25" s="990">
        <v>0</v>
      </c>
      <c r="K25" s="915">
        <v>0</v>
      </c>
      <c r="L25" s="883">
        <f t="shared" si="3"/>
        <v>32</v>
      </c>
      <c r="M25" s="990">
        <v>32</v>
      </c>
      <c r="N25" s="883">
        <v>0</v>
      </c>
    </row>
    <row r="26" spans="1:14" s="266" customFormat="1" ht="12">
      <c r="A26" s="1167">
        <v>9</v>
      </c>
      <c r="B26" s="1173" t="s">
        <v>954</v>
      </c>
      <c r="C26" s="1182" t="s">
        <v>412</v>
      </c>
      <c r="D26" s="1180" t="s">
        <v>49</v>
      </c>
      <c r="E26" s="1180" t="s">
        <v>715</v>
      </c>
      <c r="F26" s="1169">
        <f>G26+H26</f>
        <v>7.306</v>
      </c>
      <c r="G26" s="1184">
        <v>7.306</v>
      </c>
      <c r="H26" s="1184"/>
      <c r="I26" s="644">
        <f t="shared" si="2"/>
        <v>0</v>
      </c>
      <c r="J26" s="645">
        <v>0</v>
      </c>
      <c r="K26" s="648">
        <v>0</v>
      </c>
      <c r="L26" s="644">
        <f t="shared" si="3"/>
        <v>3</v>
      </c>
      <c r="M26" s="645">
        <v>0</v>
      </c>
      <c r="N26" s="644">
        <v>3</v>
      </c>
    </row>
    <row r="27" spans="1:14" s="266" customFormat="1" ht="12.75" thickBot="1">
      <c r="A27" s="1168"/>
      <c r="B27" s="1170"/>
      <c r="C27" s="1183"/>
      <c r="D27" s="1181"/>
      <c r="E27" s="1181"/>
      <c r="F27" s="1170"/>
      <c r="G27" s="1185"/>
      <c r="H27" s="1185"/>
      <c r="I27" s="883">
        <f t="shared" si="2"/>
        <v>0</v>
      </c>
      <c r="J27" s="990">
        <v>0</v>
      </c>
      <c r="K27" s="611">
        <v>0</v>
      </c>
      <c r="L27" s="883">
        <f t="shared" si="3"/>
        <v>37</v>
      </c>
      <c r="M27" s="990">
        <v>0</v>
      </c>
      <c r="N27" s="883">
        <v>37</v>
      </c>
    </row>
    <row r="28" spans="1:14" s="266" customFormat="1" ht="12">
      <c r="A28" s="1167">
        <v>10</v>
      </c>
      <c r="B28" s="1173" t="s">
        <v>956</v>
      </c>
      <c r="C28" s="1182" t="s">
        <v>409</v>
      </c>
      <c r="D28" s="1180" t="s">
        <v>27</v>
      </c>
      <c r="E28" s="1676" t="s">
        <v>1486</v>
      </c>
      <c r="F28" s="1169">
        <f>G28+H28</f>
        <v>7.881</v>
      </c>
      <c r="G28" s="1178">
        <v>0</v>
      </c>
      <c r="H28" s="1184">
        <v>7.881</v>
      </c>
      <c r="I28" s="644">
        <v>0</v>
      </c>
      <c r="J28" s="645">
        <v>0</v>
      </c>
      <c r="K28" s="648">
        <v>0</v>
      </c>
      <c r="L28" s="644">
        <f aca="true" t="shared" si="4" ref="L28:L41">M28+N28</f>
        <v>0</v>
      </c>
      <c r="M28" s="645">
        <v>0</v>
      </c>
      <c r="N28" s="644">
        <v>0</v>
      </c>
    </row>
    <row r="29" spans="1:14" s="266" customFormat="1" ht="19.5" customHeight="1" thickBot="1">
      <c r="A29" s="1168"/>
      <c r="B29" s="1170"/>
      <c r="C29" s="1183"/>
      <c r="D29" s="1181"/>
      <c r="E29" s="1677"/>
      <c r="F29" s="1170"/>
      <c r="G29" s="1179"/>
      <c r="H29" s="1185"/>
      <c r="I29" s="883">
        <f aca="true" t="shared" si="5" ref="I29:I43">J29+K29</f>
        <v>0</v>
      </c>
      <c r="J29" s="990">
        <v>0</v>
      </c>
      <c r="K29" s="611">
        <v>0</v>
      </c>
      <c r="L29" s="883">
        <f t="shared" si="4"/>
        <v>0</v>
      </c>
      <c r="M29" s="990">
        <v>0</v>
      </c>
      <c r="N29" s="883">
        <v>0</v>
      </c>
    </row>
    <row r="30" spans="1:14" s="266" customFormat="1" ht="12">
      <c r="A30" s="1167">
        <v>11</v>
      </c>
      <c r="B30" s="1173" t="s">
        <v>957</v>
      </c>
      <c r="C30" s="1182" t="s">
        <v>410</v>
      </c>
      <c r="D30" s="1180" t="s">
        <v>49</v>
      </c>
      <c r="E30" s="1173" t="s">
        <v>10</v>
      </c>
      <c r="F30" s="1169">
        <f>G30+H30</f>
        <v>3.5</v>
      </c>
      <c r="G30" s="1178">
        <v>0</v>
      </c>
      <c r="H30" s="1178">
        <v>3.5</v>
      </c>
      <c r="I30" s="644">
        <f t="shared" si="5"/>
        <v>0</v>
      </c>
      <c r="J30" s="648">
        <v>0</v>
      </c>
      <c r="K30" s="646">
        <v>0</v>
      </c>
      <c r="L30" s="644">
        <f t="shared" si="4"/>
        <v>3</v>
      </c>
      <c r="M30" s="648">
        <v>2</v>
      </c>
      <c r="N30" s="644">
        <v>1</v>
      </c>
    </row>
    <row r="31" spans="1:14" s="266" customFormat="1" ht="22.5" customHeight="1" thickBot="1">
      <c r="A31" s="1168"/>
      <c r="B31" s="1170"/>
      <c r="C31" s="1183"/>
      <c r="D31" s="1181"/>
      <c r="E31" s="1174"/>
      <c r="F31" s="1170"/>
      <c r="G31" s="1179"/>
      <c r="H31" s="1179"/>
      <c r="I31" s="883">
        <f t="shared" si="5"/>
        <v>0</v>
      </c>
      <c r="J31" s="611">
        <v>0</v>
      </c>
      <c r="K31" s="915">
        <v>0</v>
      </c>
      <c r="L31" s="883">
        <f t="shared" si="4"/>
        <v>46</v>
      </c>
      <c r="M31" s="611">
        <v>32</v>
      </c>
      <c r="N31" s="883">
        <v>14</v>
      </c>
    </row>
    <row r="32" spans="1:14" s="266" customFormat="1" ht="12">
      <c r="A32" s="1167">
        <v>12</v>
      </c>
      <c r="B32" s="1173" t="s">
        <v>958</v>
      </c>
      <c r="C32" s="1182" t="s">
        <v>411</v>
      </c>
      <c r="D32" s="1180" t="s">
        <v>27</v>
      </c>
      <c r="E32" s="1173" t="s">
        <v>1488</v>
      </c>
      <c r="F32" s="1169">
        <f>G32+H32</f>
        <v>5.592</v>
      </c>
      <c r="G32" s="1184">
        <v>5.592</v>
      </c>
      <c r="H32" s="1178">
        <v>0</v>
      </c>
      <c r="I32" s="644">
        <f t="shared" si="5"/>
        <v>0</v>
      </c>
      <c r="J32" s="645">
        <v>0</v>
      </c>
      <c r="K32" s="646">
        <v>0</v>
      </c>
      <c r="L32" s="644">
        <f t="shared" si="4"/>
        <v>4</v>
      </c>
      <c r="M32" s="645">
        <v>2</v>
      </c>
      <c r="N32" s="644">
        <v>2</v>
      </c>
    </row>
    <row r="33" spans="1:14" s="266" customFormat="1" ht="27" customHeight="1" thickBot="1">
      <c r="A33" s="1168"/>
      <c r="B33" s="1170"/>
      <c r="C33" s="1183"/>
      <c r="D33" s="1181"/>
      <c r="E33" s="1170"/>
      <c r="F33" s="1170"/>
      <c r="G33" s="1185"/>
      <c r="H33" s="1179"/>
      <c r="I33" s="883">
        <f t="shared" si="5"/>
        <v>0</v>
      </c>
      <c r="J33" s="990">
        <v>0</v>
      </c>
      <c r="K33" s="915">
        <v>0</v>
      </c>
      <c r="L33" s="883">
        <f t="shared" si="4"/>
        <v>71</v>
      </c>
      <c r="M33" s="990">
        <v>32</v>
      </c>
      <c r="N33" s="883">
        <v>39</v>
      </c>
    </row>
    <row r="34" spans="1:14" s="266" customFormat="1" ht="12" customHeight="1">
      <c r="A34" s="1167">
        <v>1</v>
      </c>
      <c r="B34" s="1169" t="s">
        <v>1000</v>
      </c>
      <c r="C34" s="1652" t="s">
        <v>729</v>
      </c>
      <c r="D34" s="1180" t="s">
        <v>460</v>
      </c>
      <c r="E34" s="1353" t="s">
        <v>713</v>
      </c>
      <c r="F34" s="1184">
        <f>G34+H34</f>
        <v>12.513</v>
      </c>
      <c r="G34" s="1184">
        <v>12.513</v>
      </c>
      <c r="H34" s="1178">
        <v>0</v>
      </c>
      <c r="I34" s="882">
        <f>J34+K34</f>
        <v>1</v>
      </c>
      <c r="J34" s="882">
        <v>1</v>
      </c>
      <c r="K34" s="882">
        <v>0</v>
      </c>
      <c r="L34" s="882">
        <f>M34+N34</f>
        <v>9</v>
      </c>
      <c r="M34" s="913">
        <v>3</v>
      </c>
      <c r="N34" s="882">
        <v>6</v>
      </c>
    </row>
    <row r="35" spans="1:14" s="266" customFormat="1" ht="31.5" customHeight="1">
      <c r="A35" s="1163"/>
      <c r="B35" s="1164"/>
      <c r="C35" s="1653"/>
      <c r="D35" s="1600"/>
      <c r="E35" s="1655"/>
      <c r="F35" s="1162"/>
      <c r="G35" s="1162"/>
      <c r="H35" s="1366"/>
      <c r="I35" s="926">
        <f>J35+K35</f>
        <v>49.31</v>
      </c>
      <c r="J35" s="926">
        <v>49.31</v>
      </c>
      <c r="K35" s="922">
        <v>0</v>
      </c>
      <c r="L35" s="922">
        <f>M35+N35</f>
        <v>113</v>
      </c>
      <c r="M35" s="984">
        <v>31</v>
      </c>
      <c r="N35" s="922">
        <v>82</v>
      </c>
    </row>
    <row r="36" spans="1:14" s="266" customFormat="1" ht="42.75" customHeight="1">
      <c r="A36" s="1163"/>
      <c r="B36" s="1164"/>
      <c r="C36" s="1653"/>
      <c r="D36" s="983" t="s">
        <v>27</v>
      </c>
      <c r="E36" s="765" t="s">
        <v>730</v>
      </c>
      <c r="F36" s="705">
        <v>7.097</v>
      </c>
      <c r="G36" s="705">
        <v>7.097</v>
      </c>
      <c r="H36" s="703"/>
      <c r="I36" s="703"/>
      <c r="J36" s="703"/>
      <c r="K36" s="967"/>
      <c r="L36" s="967"/>
      <c r="M36" s="1042"/>
      <c r="N36" s="967"/>
    </row>
    <row r="37" spans="1:14" s="266" customFormat="1" ht="29.25" customHeight="1" thickBot="1">
      <c r="A37" s="1168"/>
      <c r="B37" s="1170"/>
      <c r="C37" s="1654"/>
      <c r="D37" s="1043" t="s">
        <v>49</v>
      </c>
      <c r="E37" s="921" t="s">
        <v>731</v>
      </c>
      <c r="F37" s="896">
        <v>5.416</v>
      </c>
      <c r="G37" s="896">
        <v>5.416</v>
      </c>
      <c r="H37" s="974"/>
      <c r="I37" s="974"/>
      <c r="J37" s="974"/>
      <c r="K37" s="920"/>
      <c r="L37" s="920"/>
      <c r="M37" s="971"/>
      <c r="N37" s="920"/>
    </row>
    <row r="38" spans="1:14" s="266" customFormat="1" ht="12">
      <c r="A38" s="1167">
        <v>13</v>
      </c>
      <c r="B38" s="1173" t="s">
        <v>1154</v>
      </c>
      <c r="C38" s="1182" t="s">
        <v>413</v>
      </c>
      <c r="D38" s="1180" t="s">
        <v>27</v>
      </c>
      <c r="E38" s="1180" t="s">
        <v>269</v>
      </c>
      <c r="F38" s="1169">
        <f>G38+H38</f>
        <v>2.5</v>
      </c>
      <c r="G38" s="1178">
        <v>0</v>
      </c>
      <c r="H38" s="1178">
        <v>2.5</v>
      </c>
      <c r="I38" s="644">
        <f t="shared" si="5"/>
        <v>0</v>
      </c>
      <c r="J38" s="648">
        <v>0</v>
      </c>
      <c r="K38" s="646">
        <v>0</v>
      </c>
      <c r="L38" s="644">
        <f t="shared" si="4"/>
        <v>2</v>
      </c>
      <c r="M38" s="648">
        <v>2</v>
      </c>
      <c r="N38" s="644">
        <v>0</v>
      </c>
    </row>
    <row r="39" spans="1:14" s="266" customFormat="1" ht="12.75" thickBot="1">
      <c r="A39" s="1168"/>
      <c r="B39" s="1170"/>
      <c r="C39" s="1183"/>
      <c r="D39" s="1181"/>
      <c r="E39" s="1181"/>
      <c r="F39" s="1170"/>
      <c r="G39" s="1179"/>
      <c r="H39" s="1179"/>
      <c r="I39" s="883">
        <f t="shared" si="5"/>
        <v>0</v>
      </c>
      <c r="J39" s="611">
        <v>0</v>
      </c>
      <c r="K39" s="915">
        <v>0</v>
      </c>
      <c r="L39" s="883">
        <f t="shared" si="4"/>
        <v>30</v>
      </c>
      <c r="M39" s="611">
        <v>30</v>
      </c>
      <c r="N39" s="883">
        <v>0</v>
      </c>
    </row>
    <row r="40" spans="1:14" s="266" customFormat="1" ht="12">
      <c r="A40" s="1167">
        <v>14</v>
      </c>
      <c r="B40" s="1173" t="s">
        <v>1155</v>
      </c>
      <c r="C40" s="1182" t="s">
        <v>414</v>
      </c>
      <c r="D40" s="1180" t="s">
        <v>27</v>
      </c>
      <c r="E40" s="1169" t="s">
        <v>693</v>
      </c>
      <c r="F40" s="1184">
        <f>G40+H40</f>
        <v>4.101</v>
      </c>
      <c r="G40" s="1178">
        <v>0</v>
      </c>
      <c r="H40" s="1184">
        <v>4.101</v>
      </c>
      <c r="I40" s="644">
        <f t="shared" si="5"/>
        <v>1</v>
      </c>
      <c r="J40" s="645">
        <v>0</v>
      </c>
      <c r="K40" s="646">
        <v>1</v>
      </c>
      <c r="L40" s="644">
        <f t="shared" si="4"/>
        <v>3</v>
      </c>
      <c r="M40" s="645">
        <v>1</v>
      </c>
      <c r="N40" s="644">
        <v>2</v>
      </c>
    </row>
    <row r="41" spans="1:14" s="266" customFormat="1" ht="12.75" thickBot="1">
      <c r="A41" s="1168"/>
      <c r="B41" s="1170"/>
      <c r="C41" s="1183"/>
      <c r="D41" s="1181"/>
      <c r="E41" s="1170"/>
      <c r="F41" s="1185"/>
      <c r="G41" s="1179"/>
      <c r="H41" s="1185"/>
      <c r="I41" s="885">
        <f t="shared" si="5"/>
        <v>6</v>
      </c>
      <c r="J41" s="990">
        <v>0</v>
      </c>
      <c r="K41" s="968">
        <v>6</v>
      </c>
      <c r="L41" s="883">
        <f t="shared" si="4"/>
        <v>50</v>
      </c>
      <c r="M41" s="990">
        <v>15</v>
      </c>
      <c r="N41" s="883">
        <v>35</v>
      </c>
    </row>
    <row r="42" spans="1:14" s="266" customFormat="1" ht="12">
      <c r="A42" s="1167">
        <v>2</v>
      </c>
      <c r="B42" s="1351" t="s">
        <v>1161</v>
      </c>
      <c r="C42" s="1182" t="s">
        <v>672</v>
      </c>
      <c r="D42" s="1651" t="s">
        <v>27</v>
      </c>
      <c r="E42" s="1173" t="s">
        <v>685</v>
      </c>
      <c r="F42" s="1178">
        <f>G42+H42</f>
        <v>15.06</v>
      </c>
      <c r="G42" s="1178">
        <v>15.06</v>
      </c>
      <c r="H42" s="1178">
        <v>0</v>
      </c>
      <c r="I42" s="644">
        <f t="shared" si="5"/>
        <v>0</v>
      </c>
      <c r="J42" s="645"/>
      <c r="K42" s="646"/>
      <c r="L42" s="882">
        <f>M42+N42</f>
        <v>22</v>
      </c>
      <c r="M42" s="645">
        <v>11</v>
      </c>
      <c r="N42" s="644">
        <v>11</v>
      </c>
    </row>
    <row r="43" spans="1:14" s="266" customFormat="1" ht="22.5" customHeight="1" thickBot="1">
      <c r="A43" s="1168"/>
      <c r="B43" s="1352"/>
      <c r="C43" s="1183"/>
      <c r="D43" s="1181"/>
      <c r="E43" s="1174"/>
      <c r="F43" s="1179"/>
      <c r="G43" s="1179"/>
      <c r="H43" s="1179"/>
      <c r="I43" s="885">
        <f t="shared" si="5"/>
        <v>0</v>
      </c>
      <c r="J43" s="990"/>
      <c r="K43" s="915"/>
      <c r="L43" s="883">
        <f>M43+N43</f>
        <v>259</v>
      </c>
      <c r="M43" s="990">
        <v>153</v>
      </c>
      <c r="N43" s="883">
        <v>106</v>
      </c>
    </row>
    <row r="44" spans="1:14" s="1" customFormat="1" ht="12.75" hidden="1" thickBot="1">
      <c r="A44" s="1571"/>
      <c r="B44" s="1573"/>
      <c r="C44" s="1575"/>
      <c r="D44" s="1658"/>
      <c r="E44" s="1658"/>
      <c r="F44" s="1581"/>
      <c r="G44" s="1590"/>
      <c r="H44" s="1590"/>
      <c r="I44" s="744"/>
      <c r="J44" s="83"/>
      <c r="K44" s="83"/>
      <c r="L44" s="83"/>
      <c r="M44" s="83"/>
      <c r="N44" s="83"/>
    </row>
    <row r="45" spans="1:14" s="1" customFormat="1" ht="12.75" hidden="1" thickBot="1">
      <c r="A45" s="1572"/>
      <c r="B45" s="1574"/>
      <c r="C45" s="1576"/>
      <c r="D45" s="1583"/>
      <c r="E45" s="1583"/>
      <c r="F45" s="1570"/>
      <c r="G45" s="1587"/>
      <c r="H45" s="1587"/>
      <c r="I45" s="722"/>
      <c r="J45" s="639"/>
      <c r="K45" s="639"/>
      <c r="L45" s="638"/>
      <c r="M45" s="639"/>
      <c r="N45" s="639"/>
    </row>
    <row r="46" spans="1:14" s="1" customFormat="1" ht="11.25" customHeight="1" hidden="1">
      <c r="A46" s="1579"/>
      <c r="B46" s="1446"/>
      <c r="C46" s="1599"/>
      <c r="D46" s="1582"/>
      <c r="E46" s="1625"/>
      <c r="F46" s="1580"/>
      <c r="G46" s="1586"/>
      <c r="H46" s="1586"/>
      <c r="I46" s="745"/>
      <c r="J46" s="80"/>
      <c r="K46" s="82"/>
      <c r="L46" s="746"/>
      <c r="M46" s="81"/>
      <c r="N46" s="80"/>
    </row>
    <row r="47" spans="1:14" s="1" customFormat="1" ht="12.75" hidden="1" thickBot="1">
      <c r="A47" s="1572"/>
      <c r="B47" s="1574"/>
      <c r="C47" s="1576"/>
      <c r="D47" s="1583"/>
      <c r="E47" s="1578"/>
      <c r="F47" s="1570"/>
      <c r="G47" s="1587"/>
      <c r="H47" s="1587"/>
      <c r="I47" s="722"/>
      <c r="J47" s="639"/>
      <c r="K47" s="639"/>
      <c r="L47" s="724"/>
      <c r="M47" s="639"/>
      <c r="N47" s="639"/>
    </row>
    <row r="48" spans="1:14" s="1" customFormat="1" ht="12.75" hidden="1" thickBot="1">
      <c r="A48" s="1579">
        <v>18</v>
      </c>
      <c r="B48" s="1446"/>
      <c r="C48" s="1599"/>
      <c r="D48" s="1582"/>
      <c r="E48" s="1582"/>
      <c r="F48" s="1580"/>
      <c r="G48" s="1586"/>
      <c r="H48" s="1586"/>
      <c r="I48" s="746"/>
      <c r="J48" s="80"/>
      <c r="K48" s="80"/>
      <c r="L48" s="83"/>
      <c r="M48" s="80"/>
      <c r="N48" s="80"/>
    </row>
    <row r="49" spans="1:14" s="1" customFormat="1" ht="12.75" hidden="1" thickBot="1">
      <c r="A49" s="1572"/>
      <c r="B49" s="1574"/>
      <c r="C49" s="1576"/>
      <c r="D49" s="1583"/>
      <c r="E49" s="1583"/>
      <c r="F49" s="1570"/>
      <c r="G49" s="1587"/>
      <c r="H49" s="1587"/>
      <c r="I49" s="724"/>
      <c r="J49" s="639"/>
      <c r="K49" s="639"/>
      <c r="L49" s="724"/>
      <c r="M49" s="639"/>
      <c r="N49" s="639"/>
    </row>
    <row r="50" spans="1:14" s="1" customFormat="1" ht="12.75" hidden="1" thickBot="1">
      <c r="A50" s="1579">
        <v>19</v>
      </c>
      <c r="B50" s="1446"/>
      <c r="C50" s="1599"/>
      <c r="D50" s="1582"/>
      <c r="E50" s="1625"/>
      <c r="F50" s="1580"/>
      <c r="G50" s="1586"/>
      <c r="H50" s="1586"/>
      <c r="I50" s="746"/>
      <c r="J50" s="80"/>
      <c r="K50" s="80"/>
      <c r="L50" s="83"/>
      <c r="M50" s="80"/>
      <c r="N50" s="80"/>
    </row>
    <row r="51" spans="1:14" s="1" customFormat="1" ht="12.75" hidden="1" thickBot="1">
      <c r="A51" s="1572"/>
      <c r="B51" s="1574"/>
      <c r="C51" s="1576"/>
      <c r="D51" s="1583"/>
      <c r="E51" s="1578"/>
      <c r="F51" s="1570"/>
      <c r="G51" s="1587"/>
      <c r="H51" s="1587"/>
      <c r="I51" s="724"/>
      <c r="J51" s="639"/>
      <c r="K51" s="639"/>
      <c r="L51" s="724"/>
      <c r="M51" s="639"/>
      <c r="N51" s="639"/>
    </row>
    <row r="52" spans="1:14" s="1" customFormat="1" ht="12.75" hidden="1" thickBot="1">
      <c r="A52" s="1579">
        <v>20</v>
      </c>
      <c r="B52" s="1446"/>
      <c r="C52" s="1599"/>
      <c r="D52" s="1582"/>
      <c r="E52" s="1625"/>
      <c r="F52" s="1580"/>
      <c r="G52" s="1586"/>
      <c r="H52" s="1586"/>
      <c r="I52" s="746"/>
      <c r="J52" s="80"/>
      <c r="K52" s="80"/>
      <c r="L52" s="83"/>
      <c r="M52" s="80"/>
      <c r="N52" s="80"/>
    </row>
    <row r="53" spans="1:14" s="1" customFormat="1" ht="12.75" hidden="1" thickBot="1">
      <c r="A53" s="1572"/>
      <c r="B53" s="1574"/>
      <c r="C53" s="1576"/>
      <c r="D53" s="1583"/>
      <c r="E53" s="1578"/>
      <c r="F53" s="1570"/>
      <c r="G53" s="1587"/>
      <c r="H53" s="1587"/>
      <c r="I53" s="724"/>
      <c r="J53" s="639"/>
      <c r="K53" s="639"/>
      <c r="L53" s="724"/>
      <c r="M53" s="639"/>
      <c r="N53" s="639"/>
    </row>
    <row r="54" spans="1:14" s="1" customFormat="1" ht="12.75" hidden="1" thickBot="1">
      <c r="A54" s="1579">
        <v>21</v>
      </c>
      <c r="B54" s="1446"/>
      <c r="C54" s="1599"/>
      <c r="D54" s="1582"/>
      <c r="E54" s="1625"/>
      <c r="F54" s="1580"/>
      <c r="G54" s="1586"/>
      <c r="H54" s="1586"/>
      <c r="I54" s="83"/>
      <c r="J54" s="80"/>
      <c r="K54" s="80"/>
      <c r="L54" s="746"/>
      <c r="M54" s="80"/>
      <c r="N54" s="83"/>
    </row>
    <row r="55" spans="1:14" s="1" customFormat="1" ht="12.75" hidden="1" thickBot="1">
      <c r="A55" s="1572"/>
      <c r="B55" s="1574"/>
      <c r="C55" s="1576"/>
      <c r="D55" s="1583"/>
      <c r="E55" s="1578"/>
      <c r="F55" s="1570"/>
      <c r="G55" s="1587"/>
      <c r="H55" s="1587"/>
      <c r="I55" s="724"/>
      <c r="J55" s="639"/>
      <c r="K55" s="639"/>
      <c r="L55" s="724"/>
      <c r="M55" s="639"/>
      <c r="N55" s="720"/>
    </row>
    <row r="56" spans="1:14" s="1" customFormat="1" ht="12.75" hidden="1" thickBot="1">
      <c r="A56" s="788">
        <v>22</v>
      </c>
      <c r="B56" s="9"/>
      <c r="C56" s="126"/>
      <c r="D56" s="725"/>
      <c r="E56" s="642"/>
      <c r="F56" s="638"/>
      <c r="G56" s="640"/>
      <c r="H56" s="640"/>
      <c r="I56" s="746"/>
      <c r="J56" s="80"/>
      <c r="K56" s="80"/>
      <c r="L56" s="83"/>
      <c r="M56" s="80"/>
      <c r="N56" s="80"/>
    </row>
    <row r="57" spans="1:14" s="1" customFormat="1" ht="12.75" hidden="1" thickBot="1">
      <c r="A57" s="789"/>
      <c r="B57" s="12"/>
      <c r="C57" s="125"/>
      <c r="D57" s="726"/>
      <c r="E57" s="643"/>
      <c r="F57" s="639"/>
      <c r="G57" s="641"/>
      <c r="H57" s="641"/>
      <c r="I57" s="724"/>
      <c r="J57" s="639"/>
      <c r="K57" s="639"/>
      <c r="L57" s="724"/>
      <c r="M57" s="639"/>
      <c r="N57" s="639"/>
    </row>
    <row r="58" spans="1:14" s="1" customFormat="1" ht="12.75" hidden="1" thickBot="1">
      <c r="A58" s="160">
        <v>23</v>
      </c>
      <c r="B58" s="10"/>
      <c r="C58" s="128"/>
      <c r="D58" s="725"/>
      <c r="E58" s="727"/>
      <c r="F58" s="638"/>
      <c r="G58" s="721"/>
      <c r="H58" s="721"/>
      <c r="I58" s="746"/>
      <c r="J58" s="83"/>
      <c r="K58" s="83"/>
      <c r="L58" s="746"/>
      <c r="M58" s="83"/>
      <c r="N58" s="83"/>
    </row>
    <row r="59" spans="1:14" s="1" customFormat="1" ht="12.75" hidden="1" thickBot="1">
      <c r="A59" s="160"/>
      <c r="B59" s="10"/>
      <c r="C59" s="128"/>
      <c r="D59" s="731"/>
      <c r="E59" s="727"/>
      <c r="F59" s="720"/>
      <c r="G59" s="721"/>
      <c r="H59" s="721"/>
      <c r="I59" s="720"/>
      <c r="J59" s="720"/>
      <c r="K59" s="720"/>
      <c r="L59" s="720"/>
      <c r="M59" s="720"/>
      <c r="N59" s="720"/>
    </row>
    <row r="60" spans="1:14" s="1" customFormat="1" ht="12.75" hidden="1" thickBot="1">
      <c r="A60" s="1663"/>
      <c r="B60" s="1664"/>
      <c r="C60" s="1665"/>
      <c r="D60" s="1582"/>
      <c r="E60" s="1667"/>
      <c r="F60" s="1666">
        <f>G60+H60</f>
        <v>0</v>
      </c>
      <c r="G60" s="1586"/>
      <c r="H60" s="1666"/>
      <c r="I60" s="638">
        <f>J60+K60</f>
        <v>0</v>
      </c>
      <c r="J60" s="638"/>
      <c r="K60" s="638"/>
      <c r="L60" s="638">
        <f>M60+N60</f>
        <v>0</v>
      </c>
      <c r="M60" s="638"/>
      <c r="N60" s="638"/>
    </row>
    <row r="61" spans="1:14" s="1" customFormat="1" ht="23.25" customHeight="1" hidden="1">
      <c r="A61" s="1579"/>
      <c r="B61" s="1446"/>
      <c r="C61" s="1599"/>
      <c r="D61" s="1658"/>
      <c r="E61" s="1625"/>
      <c r="F61" s="1588"/>
      <c r="G61" s="1590"/>
      <c r="H61" s="1588"/>
      <c r="I61" s="721">
        <f>J61+K61</f>
        <v>0</v>
      </c>
      <c r="J61" s="721"/>
      <c r="K61" s="720"/>
      <c r="L61" s="720">
        <f>M61+N61</f>
        <v>0</v>
      </c>
      <c r="M61" s="720"/>
      <c r="N61" s="720"/>
    </row>
    <row r="62" spans="1:14" s="47" customFormat="1" ht="12">
      <c r="A62" s="1661"/>
      <c r="B62" s="323"/>
      <c r="C62" s="1596" t="s">
        <v>229</v>
      </c>
      <c r="D62" s="1596"/>
      <c r="E62" s="1596"/>
      <c r="F62" s="1551">
        <f aca="true" t="shared" si="6" ref="F62:N62">F8+F10+F12+F14+F16+F20+F22+F24+F26+F28+F30+F32+F34+F38+F40+F42</f>
        <v>144.963</v>
      </c>
      <c r="G62" s="1551">
        <f t="shared" si="6"/>
        <v>112.238</v>
      </c>
      <c r="H62" s="1584">
        <f t="shared" si="6"/>
        <v>32.725</v>
      </c>
      <c r="I62" s="797">
        <f t="shared" si="6"/>
        <v>8</v>
      </c>
      <c r="J62" s="797">
        <f t="shared" si="6"/>
        <v>7</v>
      </c>
      <c r="K62" s="797">
        <f t="shared" si="6"/>
        <v>1</v>
      </c>
      <c r="L62" s="797">
        <f t="shared" si="6"/>
        <v>91</v>
      </c>
      <c r="M62" s="797">
        <f t="shared" si="6"/>
        <v>59</v>
      </c>
      <c r="N62" s="797">
        <f t="shared" si="6"/>
        <v>32</v>
      </c>
    </row>
    <row r="63" spans="1:14" s="47" customFormat="1" ht="20.25" customHeight="1" thickBot="1">
      <c r="A63" s="1662"/>
      <c r="B63" s="164"/>
      <c r="C63" s="1597"/>
      <c r="D63" s="1597"/>
      <c r="E63" s="1597"/>
      <c r="F63" s="1597"/>
      <c r="G63" s="1597"/>
      <c r="H63" s="1668"/>
      <c r="I63" s="798">
        <f aca="true" t="shared" si="7" ref="I63:N63">I9+I11+I13+I15+I17+I21+I23+I25+I27+I29+I31+I33+I35+I39+I41+I43</f>
        <v>303.26</v>
      </c>
      <c r="J63" s="798">
        <f t="shared" si="7"/>
        <v>297.26</v>
      </c>
      <c r="K63" s="799">
        <f t="shared" si="7"/>
        <v>6</v>
      </c>
      <c r="L63" s="798">
        <f t="shared" si="7"/>
        <v>1641</v>
      </c>
      <c r="M63" s="798">
        <f t="shared" si="7"/>
        <v>1168</v>
      </c>
      <c r="N63" s="798">
        <f t="shared" si="7"/>
        <v>473</v>
      </c>
    </row>
    <row r="64" spans="1:14" ht="1.5" customHeight="1" hidden="1" thickBot="1">
      <c r="A64" s="151"/>
      <c r="B64" s="153"/>
      <c r="C64" s="1669" t="s">
        <v>454</v>
      </c>
      <c r="D64" s="216" t="s">
        <v>450</v>
      </c>
      <c r="E64" s="217"/>
      <c r="F64" s="218">
        <f>SUMIF($D$28:$D$59,"=I",F28:F59)</f>
        <v>0</v>
      </c>
      <c r="G64" s="218">
        <f>SUMIF($D$28:$D$59,"=I",G28:G59)</f>
        <v>0</v>
      </c>
      <c r="H64" s="218">
        <f>SUMIF($D$28:$D$59,"=I",H28:H59)</f>
        <v>0</v>
      </c>
      <c r="I64" s="89"/>
      <c r="J64" s="89"/>
      <c r="K64" s="89"/>
      <c r="L64" s="89"/>
      <c r="M64" s="89"/>
      <c r="N64" s="89"/>
    </row>
    <row r="65" spans="1:8" ht="12.75" hidden="1">
      <c r="A65" s="151"/>
      <c r="B65" s="153"/>
      <c r="C65" s="1670"/>
      <c r="D65" s="108" t="s">
        <v>100</v>
      </c>
      <c r="E65" s="106"/>
      <c r="F65" s="107">
        <f>SUMIF($D$28:$D$59,"=II",F28:F59)</f>
        <v>0</v>
      </c>
      <c r="G65" s="107">
        <f>SUMIF($D$28:$D$59,"=II",G28:G59)</f>
        <v>0</v>
      </c>
      <c r="H65" s="107">
        <f>SUMIF($D$28:$D$59,"=II",H28:H59)</f>
        <v>0</v>
      </c>
    </row>
    <row r="66" spans="1:8" ht="12.75" hidden="1">
      <c r="A66" s="151"/>
      <c r="B66" s="153"/>
      <c r="C66" s="1670"/>
      <c r="D66" s="105" t="s">
        <v>102</v>
      </c>
      <c r="E66" s="106"/>
      <c r="F66" s="107">
        <f>SUMIF($D$28:$D$59,"=III",F28:F59)</f>
        <v>0</v>
      </c>
      <c r="G66" s="107">
        <f>SUMIF($D$28:$D$59,"=III",G28:G59)</f>
        <v>0</v>
      </c>
      <c r="H66" s="107">
        <f>SUMIF($D$28:$D$59,"=III",H28:H59)</f>
        <v>0</v>
      </c>
    </row>
    <row r="67" spans="1:8" ht="16.5" customHeight="1">
      <c r="A67" s="151"/>
      <c r="B67" s="153"/>
      <c r="C67" s="1670"/>
      <c r="D67" s="106" t="s">
        <v>27</v>
      </c>
      <c r="E67" s="109"/>
      <c r="F67" s="110">
        <f>SUMIF($D$8:$D$61,"=IV",F8:F61)</f>
        <v>128.74099999999999</v>
      </c>
      <c r="G67" s="110">
        <f>SUMIF($D$8:$D$61,"=IV",G8:G61)</f>
        <v>99.51599999999999</v>
      </c>
      <c r="H67" s="110">
        <f>SUMIF($D$8:$D$61,"=IV",H8:H61)</f>
        <v>29.225</v>
      </c>
    </row>
    <row r="68" spans="1:8" ht="16.5" customHeight="1">
      <c r="A68" s="152"/>
      <c r="B68" s="154"/>
      <c r="C68" s="1670"/>
      <c r="D68" s="106" t="s">
        <v>49</v>
      </c>
      <c r="E68" s="107"/>
      <c r="F68" s="107">
        <f>SUMIF($D$8:$D$59,"=V",F8:F59)</f>
        <v>16.222</v>
      </c>
      <c r="G68" s="107">
        <f>SUMIF($D$8:$D$59,"=V",G8:G59)</f>
        <v>12.722000000000001</v>
      </c>
      <c r="H68" s="107">
        <f>SUMIF($D$8:$D$59,"=V",H8:H59)</f>
        <v>3.5</v>
      </c>
    </row>
    <row r="69" spans="3:8" ht="12.75">
      <c r="C69" s="7"/>
      <c r="D69" s="7"/>
      <c r="F69" s="52"/>
      <c r="G69" s="52"/>
      <c r="H69" s="52"/>
    </row>
    <row r="70" spans="3:4" ht="12.75">
      <c r="C70" s="7"/>
      <c r="D70" s="7"/>
    </row>
    <row r="71" spans="3:4" ht="12.75">
      <c r="C71" s="7"/>
      <c r="D71" s="7"/>
    </row>
    <row r="72" spans="3:9" ht="12.75">
      <c r="C72" s="7"/>
      <c r="D72" s="7"/>
      <c r="I72" s="31"/>
    </row>
    <row r="73" spans="3:9" ht="12.75">
      <c r="C73" s="7"/>
      <c r="D73" s="7"/>
      <c r="I73" s="31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</sheetData>
  <sheetProtection/>
  <mergeCells count="217">
    <mergeCell ref="D5:D7"/>
    <mergeCell ref="G6:G7"/>
    <mergeCell ref="L5:N5"/>
    <mergeCell ref="E5:E7"/>
    <mergeCell ref="L6:L7"/>
    <mergeCell ref="J6:K6"/>
    <mergeCell ref="G28:G29"/>
    <mergeCell ref="G5:H5"/>
    <mergeCell ref="H6:H7"/>
    <mergeCell ref="G26:G27"/>
    <mergeCell ref="G10:G11"/>
    <mergeCell ref="H28:H29"/>
    <mergeCell ref="G20:G21"/>
    <mergeCell ref="G22:G23"/>
    <mergeCell ref="C5:C7"/>
    <mergeCell ref="M6:N6"/>
    <mergeCell ref="F5:F7"/>
    <mergeCell ref="I5:K5"/>
    <mergeCell ref="I6:I7"/>
    <mergeCell ref="H22:H23"/>
    <mergeCell ref="H20:H21"/>
    <mergeCell ref="H18:H19"/>
    <mergeCell ref="C28:C29"/>
    <mergeCell ref="E28:E29"/>
    <mergeCell ref="D28:D29"/>
    <mergeCell ref="C30:C31"/>
    <mergeCell ref="D30:D31"/>
    <mergeCell ref="A1:N1"/>
    <mergeCell ref="A2:N2"/>
    <mergeCell ref="A3:N3"/>
    <mergeCell ref="A5:A7"/>
    <mergeCell ref="B5:B7"/>
    <mergeCell ref="F30:F31"/>
    <mergeCell ref="A26:A27"/>
    <mergeCell ref="F28:F29"/>
    <mergeCell ref="C32:C33"/>
    <mergeCell ref="D32:D33"/>
    <mergeCell ref="A30:A31"/>
    <mergeCell ref="B30:B31"/>
    <mergeCell ref="A28:A29"/>
    <mergeCell ref="E30:E31"/>
    <mergeCell ref="B28:B29"/>
    <mergeCell ref="H32:H33"/>
    <mergeCell ref="H30:H31"/>
    <mergeCell ref="G30:G31"/>
    <mergeCell ref="A32:A33"/>
    <mergeCell ref="B32:B33"/>
    <mergeCell ref="G16:G17"/>
    <mergeCell ref="C18:C19"/>
    <mergeCell ref="A20:A21"/>
    <mergeCell ref="A24:A25"/>
    <mergeCell ref="A22:A23"/>
    <mergeCell ref="G8:G9"/>
    <mergeCell ref="B38:B39"/>
    <mergeCell ref="E16:E17"/>
    <mergeCell ref="F8:F9"/>
    <mergeCell ref="D12:D13"/>
    <mergeCell ref="E12:E13"/>
    <mergeCell ref="B26:B27"/>
    <mergeCell ref="C26:C27"/>
    <mergeCell ref="D26:D27"/>
    <mergeCell ref="C14:C15"/>
    <mergeCell ref="A40:A41"/>
    <mergeCell ref="B40:B41"/>
    <mergeCell ref="C40:C41"/>
    <mergeCell ref="A38:A39"/>
    <mergeCell ref="C38:C39"/>
    <mergeCell ref="A8:A9"/>
    <mergeCell ref="B8:B9"/>
    <mergeCell ref="C12:C13"/>
    <mergeCell ref="A12:A13"/>
    <mergeCell ref="B16:B17"/>
    <mergeCell ref="F12:F13"/>
    <mergeCell ref="D40:D41"/>
    <mergeCell ref="C8:C9"/>
    <mergeCell ref="D8:D9"/>
    <mergeCell ref="D38:D39"/>
    <mergeCell ref="F38:F39"/>
    <mergeCell ref="D16:D17"/>
    <mergeCell ref="E40:E41"/>
    <mergeCell ref="E26:E27"/>
    <mergeCell ref="F26:F27"/>
    <mergeCell ref="C10:C11"/>
    <mergeCell ref="D20:D21"/>
    <mergeCell ref="D10:D11"/>
    <mergeCell ref="E10:E11"/>
    <mergeCell ref="D18:D19"/>
    <mergeCell ref="D14:D15"/>
    <mergeCell ref="E18:E19"/>
    <mergeCell ref="C16:C17"/>
    <mergeCell ref="G12:G13"/>
    <mergeCell ref="H12:H13"/>
    <mergeCell ref="H8:H9"/>
    <mergeCell ref="G40:G41"/>
    <mergeCell ref="B12:B13"/>
    <mergeCell ref="H16:H17"/>
    <mergeCell ref="G14:G15"/>
    <mergeCell ref="H14:H15"/>
    <mergeCell ref="G18:G19"/>
    <mergeCell ref="B10:B11"/>
    <mergeCell ref="B14:B15"/>
    <mergeCell ref="A18:A19"/>
    <mergeCell ref="B18:B19"/>
    <mergeCell ref="A10:A11"/>
    <mergeCell ref="B20:B21"/>
    <mergeCell ref="A14:A15"/>
    <mergeCell ref="A16:A17"/>
    <mergeCell ref="A46:A47"/>
    <mergeCell ref="A44:A45"/>
    <mergeCell ref="C50:C51"/>
    <mergeCell ref="B50:B51"/>
    <mergeCell ref="C46:C47"/>
    <mergeCell ref="B44:B45"/>
    <mergeCell ref="B46:B47"/>
    <mergeCell ref="B24:B25"/>
    <mergeCell ref="A54:A55"/>
    <mergeCell ref="A50:A51"/>
    <mergeCell ref="A52:A53"/>
    <mergeCell ref="F18:F19"/>
    <mergeCell ref="F14:F15"/>
    <mergeCell ref="E14:E15"/>
    <mergeCell ref="F24:F25"/>
    <mergeCell ref="E48:E49"/>
    <mergeCell ref="C22:C23"/>
    <mergeCell ref="F10:F11"/>
    <mergeCell ref="B52:B53"/>
    <mergeCell ref="B22:B23"/>
    <mergeCell ref="C44:C45"/>
    <mergeCell ref="C48:C49"/>
    <mergeCell ref="C64:C68"/>
    <mergeCell ref="C24:C25"/>
    <mergeCell ref="C20:C21"/>
    <mergeCell ref="F22:F23"/>
    <mergeCell ref="E22:E23"/>
    <mergeCell ref="C62:C63"/>
    <mergeCell ref="C52:C53"/>
    <mergeCell ref="C54:C55"/>
    <mergeCell ref="D22:D23"/>
    <mergeCell ref="H62:H63"/>
    <mergeCell ref="H52:H53"/>
    <mergeCell ref="E62:E63"/>
    <mergeCell ref="F62:F63"/>
    <mergeCell ref="G62:G63"/>
    <mergeCell ref="D54:D55"/>
    <mergeCell ref="F60:F61"/>
    <mergeCell ref="E60:E61"/>
    <mergeCell ref="D60:D61"/>
    <mergeCell ref="E54:E55"/>
    <mergeCell ref="H60:H61"/>
    <mergeCell ref="D44:D45"/>
    <mergeCell ref="D52:D53"/>
    <mergeCell ref="D46:D47"/>
    <mergeCell ref="E52:E53"/>
    <mergeCell ref="G46:G47"/>
    <mergeCell ref="G50:G51"/>
    <mergeCell ref="E46:E47"/>
    <mergeCell ref="E50:E51"/>
    <mergeCell ref="E38:E39"/>
    <mergeCell ref="G38:G39"/>
    <mergeCell ref="F32:F33"/>
    <mergeCell ref="G32:G33"/>
    <mergeCell ref="E32:E33"/>
    <mergeCell ref="F34:F35"/>
    <mergeCell ref="F40:F41"/>
    <mergeCell ref="A62:A63"/>
    <mergeCell ref="D62:D63"/>
    <mergeCell ref="A48:A49"/>
    <mergeCell ref="A60:A61"/>
    <mergeCell ref="B54:B55"/>
    <mergeCell ref="B60:B61"/>
    <mergeCell ref="B48:B49"/>
    <mergeCell ref="D50:D51"/>
    <mergeCell ref="C60:C61"/>
    <mergeCell ref="D48:D49"/>
    <mergeCell ref="D24:D25"/>
    <mergeCell ref="H26:H27"/>
    <mergeCell ref="E44:E45"/>
    <mergeCell ref="F44:F45"/>
    <mergeCell ref="G44:G45"/>
    <mergeCell ref="G24:G25"/>
    <mergeCell ref="H24:H25"/>
    <mergeCell ref="H46:H47"/>
    <mergeCell ref="H44:H45"/>
    <mergeCell ref="G60:G61"/>
    <mergeCell ref="G54:G55"/>
    <mergeCell ref="G52:G53"/>
    <mergeCell ref="F52:F53"/>
    <mergeCell ref="F50:F51"/>
    <mergeCell ref="H54:H55"/>
    <mergeCell ref="H48:H49"/>
    <mergeCell ref="H50:H51"/>
    <mergeCell ref="H10:H11"/>
    <mergeCell ref="E20:E21"/>
    <mergeCell ref="F20:F21"/>
    <mergeCell ref="F16:F17"/>
    <mergeCell ref="F54:F55"/>
    <mergeCell ref="E24:E25"/>
    <mergeCell ref="G48:G49"/>
    <mergeCell ref="F48:F49"/>
    <mergeCell ref="F46:F47"/>
    <mergeCell ref="H38:H39"/>
    <mergeCell ref="A34:A37"/>
    <mergeCell ref="B34:B37"/>
    <mergeCell ref="C34:C37"/>
    <mergeCell ref="D34:D35"/>
    <mergeCell ref="E34:E35"/>
    <mergeCell ref="F42:F43"/>
    <mergeCell ref="G42:G43"/>
    <mergeCell ref="H42:H43"/>
    <mergeCell ref="G34:G35"/>
    <mergeCell ref="H34:H35"/>
    <mergeCell ref="H40:H41"/>
    <mergeCell ref="A42:A43"/>
    <mergeCell ref="B42:B43"/>
    <mergeCell ref="C42:C43"/>
    <mergeCell ref="D42:D43"/>
    <mergeCell ref="E42:E43"/>
  </mergeCells>
  <printOptions/>
  <pageMargins left="0.5118110236220472" right="0.31496062992125984" top="0.6299212598425197" bottom="0.5118110236220472" header="0.5118110236220472" footer="0.3937007874015748"/>
  <pageSetup firstPageNumber="21" useFirstPageNumber="1" fitToHeight="2" horizontalDpi="600" verticalDpi="600" orientation="landscape" paperSize="9" scale="89" r:id="rId1"/>
  <headerFooter alignWithMargins="0">
    <oddFooter>&amp;CСтраница &amp;P</oddFooter>
  </headerFooter>
  <rowBreaks count="1" manualBreakCount="1">
    <brk id="33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8"/>
  <sheetViews>
    <sheetView view="pageBreakPreview" zoomScaleSheetLayoutView="100" zoomScalePageLayoutView="0" workbookViewId="0" topLeftCell="A10">
      <selection activeCell="O1" sqref="O1:W16384"/>
    </sheetView>
  </sheetViews>
  <sheetFormatPr defaultColWidth="9.00390625" defaultRowHeight="12.75"/>
  <cols>
    <col min="1" max="1" width="4.25390625" style="0" customWidth="1"/>
    <col min="2" max="2" width="13.25390625" style="53" customWidth="1"/>
    <col min="3" max="3" width="34.625" style="0" customWidth="1"/>
    <col min="4" max="4" width="9.25390625" style="0" customWidth="1"/>
    <col min="5" max="5" width="12.75390625" style="0" customWidth="1"/>
    <col min="7" max="7" width="8.75390625" style="0" customWidth="1"/>
    <col min="8" max="8" width="7.625" style="0" customWidth="1"/>
    <col min="9" max="9" width="7.0039062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003906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1417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spans="1:14" ht="18.75" customHeight="1" thickBot="1">
      <c r="A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2.75" customHeight="1" thickBot="1">
      <c r="A5" s="1503" t="s">
        <v>9</v>
      </c>
      <c r="B5" s="1203" t="s">
        <v>735</v>
      </c>
      <c r="C5" s="1516" t="s">
        <v>455</v>
      </c>
      <c r="D5" s="1514" t="s">
        <v>231</v>
      </c>
      <c r="E5" s="1534" t="s">
        <v>622</v>
      </c>
      <c r="F5" s="1514" t="s">
        <v>623</v>
      </c>
      <c r="G5" s="1504" t="s">
        <v>4</v>
      </c>
      <c r="H5" s="1504"/>
      <c r="I5" s="1503" t="s">
        <v>458</v>
      </c>
      <c r="J5" s="1504"/>
      <c r="K5" s="1505"/>
      <c r="L5" s="1541" t="s">
        <v>19</v>
      </c>
      <c r="M5" s="1542"/>
      <c r="N5" s="1513"/>
    </row>
    <row r="6" spans="1:14" s="1" customFormat="1" ht="13.5" thickBot="1">
      <c r="A6" s="1532"/>
      <c r="B6" s="1204"/>
      <c r="C6" s="1517"/>
      <c r="D6" s="1515"/>
      <c r="E6" s="1535"/>
      <c r="F6" s="1515"/>
      <c r="G6" s="1514" t="s">
        <v>456</v>
      </c>
      <c r="H6" s="1470" t="s">
        <v>457</v>
      </c>
      <c r="I6" s="1516" t="s">
        <v>5</v>
      </c>
      <c r="J6" s="1518" t="s">
        <v>4</v>
      </c>
      <c r="K6" s="1519"/>
      <c r="L6" s="1516" t="s">
        <v>5</v>
      </c>
      <c r="M6" s="1512" t="s">
        <v>4</v>
      </c>
      <c r="N6" s="1513"/>
    </row>
    <row r="7" spans="1:14" s="1" customFormat="1" ht="13.5" thickBot="1">
      <c r="A7" s="1694"/>
      <c r="B7" s="1205"/>
      <c r="C7" s="1696"/>
      <c r="D7" s="1697"/>
      <c r="E7" s="1693"/>
      <c r="F7" s="1697"/>
      <c r="G7" s="1697"/>
      <c r="H7" s="1711"/>
      <c r="I7" s="1696"/>
      <c r="J7" s="228" t="s">
        <v>6</v>
      </c>
      <c r="K7" s="229" t="s">
        <v>7</v>
      </c>
      <c r="L7" s="1696"/>
      <c r="M7" s="229" t="s">
        <v>6</v>
      </c>
      <c r="N7" s="229" t="s">
        <v>7</v>
      </c>
    </row>
    <row r="8" spans="1:14" s="266" customFormat="1" ht="12.75">
      <c r="A8" s="1492">
        <v>1</v>
      </c>
      <c r="B8" s="1690" t="s">
        <v>814</v>
      </c>
      <c r="C8" s="1499" t="s">
        <v>549</v>
      </c>
      <c r="D8" s="1490" t="s">
        <v>27</v>
      </c>
      <c r="E8" s="1490" t="s">
        <v>114</v>
      </c>
      <c r="F8" s="1472">
        <f>G8+H8</f>
        <v>22.3</v>
      </c>
      <c r="G8" s="1476">
        <v>22.3</v>
      </c>
      <c r="H8" s="1476">
        <v>0</v>
      </c>
      <c r="I8" s="356">
        <f aca="true" t="shared" si="0" ref="I8:I54">J8+K8</f>
        <v>0</v>
      </c>
      <c r="J8" s="355">
        <v>0</v>
      </c>
      <c r="K8" s="356">
        <v>0</v>
      </c>
      <c r="L8" s="357">
        <f aca="true" t="shared" si="1" ref="L8:L54">M8+N8</f>
        <v>29</v>
      </c>
      <c r="M8" s="357">
        <v>29</v>
      </c>
      <c r="N8" s="356">
        <v>0</v>
      </c>
    </row>
    <row r="9" spans="1:14" s="266" customFormat="1" ht="12.75" customHeight="1" thickBot="1">
      <c r="A9" s="1692"/>
      <c r="B9" s="1695"/>
      <c r="C9" s="1685"/>
      <c r="D9" s="1546"/>
      <c r="E9" s="1546"/>
      <c r="F9" s="1689"/>
      <c r="G9" s="1680"/>
      <c r="H9" s="1680"/>
      <c r="I9" s="956">
        <f t="shared" si="0"/>
        <v>0</v>
      </c>
      <c r="J9" s="394">
        <v>0</v>
      </c>
      <c r="K9" s="956">
        <v>0</v>
      </c>
      <c r="L9" s="486">
        <f t="shared" si="1"/>
        <v>582</v>
      </c>
      <c r="M9" s="486">
        <v>582</v>
      </c>
      <c r="N9" s="956">
        <v>0</v>
      </c>
    </row>
    <row r="10" spans="1:14" s="266" customFormat="1" ht="12">
      <c r="A10" s="1269">
        <v>2</v>
      </c>
      <c r="B10" s="1714" t="s">
        <v>831</v>
      </c>
      <c r="C10" s="1304" t="s">
        <v>384</v>
      </c>
      <c r="D10" s="1716" t="s">
        <v>620</v>
      </c>
      <c r="E10" s="1327" t="s">
        <v>1454</v>
      </c>
      <c r="F10" s="1306">
        <f>G10+H10</f>
        <v>58.221999999999994</v>
      </c>
      <c r="G10" s="1288">
        <f>G12+G13+G14</f>
        <v>58.221999999999994</v>
      </c>
      <c r="H10" s="1276">
        <v>0</v>
      </c>
      <c r="I10" s="660">
        <f t="shared" si="0"/>
        <v>3</v>
      </c>
      <c r="J10" s="664">
        <v>2</v>
      </c>
      <c r="K10" s="662">
        <v>1</v>
      </c>
      <c r="L10" s="660">
        <f t="shared" si="1"/>
        <v>52</v>
      </c>
      <c r="M10" s="664">
        <v>50</v>
      </c>
      <c r="N10" s="660">
        <v>2</v>
      </c>
    </row>
    <row r="11" spans="1:14" s="266" customFormat="1" ht="29.25" customHeight="1">
      <c r="A11" s="1270"/>
      <c r="B11" s="1715"/>
      <c r="C11" s="1303"/>
      <c r="D11" s="1312"/>
      <c r="E11" s="1268"/>
      <c r="F11" s="1266"/>
      <c r="G11" s="1320"/>
      <c r="H11" s="1277"/>
      <c r="I11" s="905">
        <f t="shared" si="0"/>
        <v>199.86</v>
      </c>
      <c r="J11" s="905">
        <v>84.09</v>
      </c>
      <c r="K11" s="670">
        <f>115.45+0.32</f>
        <v>115.77</v>
      </c>
      <c r="L11" s="905">
        <f t="shared" si="1"/>
        <v>845</v>
      </c>
      <c r="M11" s="905">
        <v>778</v>
      </c>
      <c r="N11" s="905">
        <v>67</v>
      </c>
    </row>
    <row r="12" spans="1:14" s="266" customFormat="1" ht="12">
      <c r="A12" s="1270"/>
      <c r="B12" s="1715"/>
      <c r="C12" s="1044" t="s">
        <v>449</v>
      </c>
      <c r="D12" s="1045" t="s">
        <v>100</v>
      </c>
      <c r="E12" s="1046" t="s">
        <v>1406</v>
      </c>
      <c r="F12" s="1047">
        <f>G12+H12</f>
        <v>8.899</v>
      </c>
      <c r="G12" s="1048">
        <v>8.899</v>
      </c>
      <c r="H12" s="910"/>
      <c r="I12" s="667"/>
      <c r="J12" s="666"/>
      <c r="K12" s="667"/>
      <c r="L12" s="666"/>
      <c r="M12" s="667"/>
      <c r="N12" s="666"/>
    </row>
    <row r="13" spans="1:14" s="266" customFormat="1" ht="12">
      <c r="A13" s="1270"/>
      <c r="B13" s="1715"/>
      <c r="C13" s="1044"/>
      <c r="D13" s="1049" t="s">
        <v>102</v>
      </c>
      <c r="E13" s="1050" t="s">
        <v>1405</v>
      </c>
      <c r="F13" s="1051">
        <f>G13+H13</f>
        <v>20.374</v>
      </c>
      <c r="G13" s="1048">
        <v>20.374</v>
      </c>
      <c r="H13" s="1052"/>
      <c r="I13" s="669"/>
      <c r="J13" s="902"/>
      <c r="K13" s="669"/>
      <c r="L13" s="902"/>
      <c r="M13" s="669"/>
      <c r="N13" s="902"/>
    </row>
    <row r="14" spans="1:14" s="266" customFormat="1" ht="12.75" thickBot="1">
      <c r="A14" s="1053"/>
      <c r="B14" s="479"/>
      <c r="C14" s="1054"/>
      <c r="D14" s="1055" t="s">
        <v>27</v>
      </c>
      <c r="E14" s="1056" t="s">
        <v>1404</v>
      </c>
      <c r="F14" s="1057">
        <f>G14+H14</f>
        <v>28.949</v>
      </c>
      <c r="G14" s="1058">
        <v>28.949</v>
      </c>
      <c r="H14" s="911"/>
      <c r="I14" s="479"/>
      <c r="J14" s="903"/>
      <c r="K14" s="479"/>
      <c r="L14" s="903"/>
      <c r="M14" s="479"/>
      <c r="N14" s="903"/>
    </row>
    <row r="15" spans="1:14" s="266" customFormat="1" ht="12">
      <c r="A15" s="1307">
        <v>3</v>
      </c>
      <c r="B15" s="1412" t="s">
        <v>832</v>
      </c>
      <c r="C15" s="1315" t="s">
        <v>498</v>
      </c>
      <c r="D15" s="1647" t="s">
        <v>27</v>
      </c>
      <c r="E15" s="1647" t="s">
        <v>734</v>
      </c>
      <c r="F15" s="1308">
        <f>G15+H15</f>
        <v>1.403</v>
      </c>
      <c r="G15" s="1405">
        <v>1.403</v>
      </c>
      <c r="H15" s="1413">
        <v>0</v>
      </c>
      <c r="I15" s="269">
        <f>J15+K15</f>
        <v>0</v>
      </c>
      <c r="J15" s="262">
        <v>0</v>
      </c>
      <c r="K15" s="268">
        <v>0</v>
      </c>
      <c r="L15" s="269">
        <f>M15+N15</f>
        <v>3</v>
      </c>
      <c r="M15" s="262">
        <v>0</v>
      </c>
      <c r="N15" s="269">
        <v>3</v>
      </c>
    </row>
    <row r="16" spans="1:14" s="266" customFormat="1" ht="12.75" thickBot="1">
      <c r="A16" s="1240"/>
      <c r="B16" s="1261"/>
      <c r="C16" s="1244"/>
      <c r="D16" s="1246"/>
      <c r="E16" s="1246"/>
      <c r="F16" s="1242"/>
      <c r="G16" s="1248"/>
      <c r="H16" s="1250"/>
      <c r="I16" s="898">
        <f>J16+K16</f>
        <v>0</v>
      </c>
      <c r="J16" s="907">
        <v>0</v>
      </c>
      <c r="K16" s="950">
        <v>0</v>
      </c>
      <c r="L16" s="898">
        <f>M16+N16</f>
        <v>41</v>
      </c>
      <c r="M16" s="907">
        <v>0</v>
      </c>
      <c r="N16" s="898">
        <v>41</v>
      </c>
    </row>
    <row r="17" spans="1:14" s="266" customFormat="1" ht="12">
      <c r="A17" s="1307">
        <v>4</v>
      </c>
      <c r="B17" s="1412" t="s">
        <v>833</v>
      </c>
      <c r="C17" s="1315" t="s">
        <v>472</v>
      </c>
      <c r="D17" s="1647" t="s">
        <v>27</v>
      </c>
      <c r="E17" s="1647" t="s">
        <v>1289</v>
      </c>
      <c r="F17" s="1308">
        <f>G17+H17</f>
        <v>1.301</v>
      </c>
      <c r="G17" s="1405">
        <v>1.301</v>
      </c>
      <c r="H17" s="1413">
        <v>0</v>
      </c>
      <c r="I17" s="269">
        <f>J17+K17</f>
        <v>0</v>
      </c>
      <c r="J17" s="267">
        <v>0</v>
      </c>
      <c r="K17" s="262">
        <v>0</v>
      </c>
      <c r="L17" s="269">
        <f>M17+N17</f>
        <v>2</v>
      </c>
      <c r="M17" s="267">
        <v>0</v>
      </c>
      <c r="N17" s="269">
        <v>2</v>
      </c>
    </row>
    <row r="18" spans="1:14" s="266" customFormat="1" ht="12.75" thickBot="1">
      <c r="A18" s="1240"/>
      <c r="B18" s="1261"/>
      <c r="C18" s="1244"/>
      <c r="D18" s="1246"/>
      <c r="E18" s="1246"/>
      <c r="F18" s="1242"/>
      <c r="G18" s="1248"/>
      <c r="H18" s="1250"/>
      <c r="I18" s="898">
        <f>J18+K18</f>
        <v>0</v>
      </c>
      <c r="J18" s="949">
        <v>0</v>
      </c>
      <c r="K18" s="907">
        <v>0</v>
      </c>
      <c r="L18" s="898">
        <f>M18+N18</f>
        <v>33</v>
      </c>
      <c r="M18" s="949">
        <v>0</v>
      </c>
      <c r="N18" s="898">
        <v>33</v>
      </c>
    </row>
    <row r="19" spans="1:14" s="266" customFormat="1" ht="12">
      <c r="A19" s="1239">
        <v>5</v>
      </c>
      <c r="B19" s="1257" t="s">
        <v>834</v>
      </c>
      <c r="C19" s="1243" t="s">
        <v>433</v>
      </c>
      <c r="D19" s="1245" t="s">
        <v>27</v>
      </c>
      <c r="E19" s="1241" t="s">
        <v>1165</v>
      </c>
      <c r="F19" s="1241">
        <f>G19+H19</f>
        <v>11.696</v>
      </c>
      <c r="G19" s="1247">
        <v>11.696</v>
      </c>
      <c r="H19" s="1249">
        <v>0</v>
      </c>
      <c r="I19" s="263">
        <f t="shared" si="0"/>
        <v>0</v>
      </c>
      <c r="J19" s="264">
        <v>0</v>
      </c>
      <c r="K19" s="325">
        <v>0</v>
      </c>
      <c r="L19" s="263">
        <f t="shared" si="1"/>
        <v>9</v>
      </c>
      <c r="M19" s="264">
        <v>4</v>
      </c>
      <c r="N19" s="263">
        <v>5</v>
      </c>
    </row>
    <row r="20" spans="1:14" s="266" customFormat="1" ht="12.75" thickBot="1">
      <c r="A20" s="1240"/>
      <c r="B20" s="1261"/>
      <c r="C20" s="1244"/>
      <c r="D20" s="1246"/>
      <c r="E20" s="1242"/>
      <c r="F20" s="1242"/>
      <c r="G20" s="1248"/>
      <c r="H20" s="1250"/>
      <c r="I20" s="898">
        <f t="shared" si="0"/>
        <v>0</v>
      </c>
      <c r="J20" s="949">
        <v>0</v>
      </c>
      <c r="K20" s="950">
        <v>0</v>
      </c>
      <c r="L20" s="898">
        <f t="shared" si="1"/>
        <v>138</v>
      </c>
      <c r="M20" s="949">
        <v>79</v>
      </c>
      <c r="N20" s="898">
        <v>59</v>
      </c>
    </row>
    <row r="21" spans="1:14" s="266" customFormat="1" ht="12.75">
      <c r="A21" s="1704">
        <v>6</v>
      </c>
      <c r="B21" s="1700" t="s">
        <v>850</v>
      </c>
      <c r="C21" s="1708" t="s">
        <v>152</v>
      </c>
      <c r="D21" s="1698" t="s">
        <v>102</v>
      </c>
      <c r="E21" s="1702" t="s">
        <v>1500</v>
      </c>
      <c r="F21" s="1678">
        <f>G21+H21</f>
        <v>23.071</v>
      </c>
      <c r="G21" s="1678">
        <v>23.071</v>
      </c>
      <c r="H21" s="1683">
        <v>0</v>
      </c>
      <c r="I21" s="710">
        <f t="shared" si="0"/>
        <v>2</v>
      </c>
      <c r="J21" s="711">
        <v>2</v>
      </c>
      <c r="K21" s="712">
        <v>0</v>
      </c>
      <c r="L21" s="710">
        <f t="shared" si="1"/>
        <v>18</v>
      </c>
      <c r="M21" s="711">
        <v>16</v>
      </c>
      <c r="N21" s="710">
        <v>2</v>
      </c>
    </row>
    <row r="22" spans="1:14" s="266" customFormat="1" ht="13.5" thickBot="1">
      <c r="A22" s="1705"/>
      <c r="B22" s="1701"/>
      <c r="C22" s="1709"/>
      <c r="D22" s="1699"/>
      <c r="E22" s="1703"/>
      <c r="F22" s="1682"/>
      <c r="G22" s="1682"/>
      <c r="H22" s="1684"/>
      <c r="I22" s="959">
        <f t="shared" si="0"/>
        <v>30.1</v>
      </c>
      <c r="J22" s="763">
        <v>30.1</v>
      </c>
      <c r="K22" s="714">
        <v>0</v>
      </c>
      <c r="L22" s="975">
        <f t="shared" si="1"/>
        <v>432</v>
      </c>
      <c r="M22" s="713">
        <v>411</v>
      </c>
      <c r="N22" s="975">
        <v>21</v>
      </c>
    </row>
    <row r="23" spans="1:14" s="266" customFormat="1" ht="12.75">
      <c r="A23" s="1492">
        <v>7</v>
      </c>
      <c r="B23" s="1690" t="s">
        <v>870</v>
      </c>
      <c r="C23" s="1499" t="s">
        <v>240</v>
      </c>
      <c r="D23" s="1490" t="s">
        <v>27</v>
      </c>
      <c r="E23" s="1490" t="s">
        <v>609</v>
      </c>
      <c r="F23" s="1472">
        <f>G23+H23</f>
        <v>2.731</v>
      </c>
      <c r="G23" s="1472">
        <v>0</v>
      </c>
      <c r="H23" s="1472">
        <v>2.731</v>
      </c>
      <c r="I23" s="1059">
        <f t="shared" si="0"/>
        <v>1</v>
      </c>
      <c r="J23" s="1060">
        <v>1</v>
      </c>
      <c r="K23" s="1061">
        <v>0</v>
      </c>
      <c r="L23" s="1059">
        <f t="shared" si="1"/>
        <v>3</v>
      </c>
      <c r="M23" s="1060">
        <v>3</v>
      </c>
      <c r="N23" s="1059">
        <v>0</v>
      </c>
    </row>
    <row r="24" spans="1:14" s="266" customFormat="1" ht="15" customHeight="1" thickBot="1">
      <c r="A24" s="1493"/>
      <c r="B24" s="1691"/>
      <c r="C24" s="1500"/>
      <c r="D24" s="1491"/>
      <c r="E24" s="1491"/>
      <c r="F24" s="1473"/>
      <c r="G24" s="1473"/>
      <c r="H24" s="1473"/>
      <c r="I24" s="957">
        <f t="shared" si="0"/>
        <v>77.45</v>
      </c>
      <c r="J24" s="1062">
        <v>77.45</v>
      </c>
      <c r="K24" s="980">
        <v>0</v>
      </c>
      <c r="L24" s="955">
        <f t="shared" si="1"/>
        <v>42</v>
      </c>
      <c r="M24" s="359">
        <v>42</v>
      </c>
      <c r="N24" s="955">
        <v>0</v>
      </c>
    </row>
    <row r="25" spans="1:14" s="266" customFormat="1" ht="12.75">
      <c r="A25" s="1492">
        <v>8</v>
      </c>
      <c r="B25" s="1690" t="s">
        <v>960</v>
      </c>
      <c r="C25" s="1499" t="s">
        <v>237</v>
      </c>
      <c r="D25" s="1490" t="s">
        <v>27</v>
      </c>
      <c r="E25" s="1490" t="s">
        <v>1383</v>
      </c>
      <c r="F25" s="1472">
        <f>G25+H25</f>
        <v>4.764</v>
      </c>
      <c r="G25" s="1467">
        <v>4.764</v>
      </c>
      <c r="H25" s="1476">
        <v>0</v>
      </c>
      <c r="I25" s="356">
        <f t="shared" si="0"/>
        <v>1</v>
      </c>
      <c r="J25" s="357">
        <v>0</v>
      </c>
      <c r="K25" s="358">
        <v>1</v>
      </c>
      <c r="L25" s="356">
        <f t="shared" si="1"/>
        <v>2</v>
      </c>
      <c r="M25" s="357">
        <v>2</v>
      </c>
      <c r="N25" s="356">
        <v>0</v>
      </c>
    </row>
    <row r="26" spans="1:14" s="266" customFormat="1" ht="13.5" thickBot="1">
      <c r="A26" s="1493"/>
      <c r="B26" s="1691"/>
      <c r="C26" s="1500"/>
      <c r="D26" s="1491"/>
      <c r="E26" s="1491"/>
      <c r="F26" s="1473"/>
      <c r="G26" s="1468"/>
      <c r="H26" s="1477"/>
      <c r="I26" s="955">
        <f t="shared" si="0"/>
        <v>15.47</v>
      </c>
      <c r="J26" s="360">
        <v>0</v>
      </c>
      <c r="K26" s="980">
        <v>15.47</v>
      </c>
      <c r="L26" s="955">
        <f t="shared" si="1"/>
        <v>34</v>
      </c>
      <c r="M26" s="360">
        <v>34</v>
      </c>
      <c r="N26" s="955">
        <v>0</v>
      </c>
    </row>
    <row r="27" spans="1:14" s="266" customFormat="1" ht="12.75">
      <c r="A27" s="1492">
        <v>9</v>
      </c>
      <c r="B27" s="1690" t="s">
        <v>961</v>
      </c>
      <c r="C27" s="1499" t="s">
        <v>238</v>
      </c>
      <c r="D27" s="1490" t="s">
        <v>49</v>
      </c>
      <c r="E27" s="1706" t="s">
        <v>1348</v>
      </c>
      <c r="F27" s="1681">
        <f>G27+H27</f>
        <v>3.303</v>
      </c>
      <c r="G27" s="1681">
        <v>3.303</v>
      </c>
      <c r="H27" s="1476">
        <v>0</v>
      </c>
      <c r="I27" s="356">
        <f t="shared" si="0"/>
        <v>0</v>
      </c>
      <c r="J27" s="357">
        <v>0</v>
      </c>
      <c r="K27" s="355">
        <v>0</v>
      </c>
      <c r="L27" s="356">
        <f t="shared" si="1"/>
        <v>4</v>
      </c>
      <c r="M27" s="357">
        <v>4</v>
      </c>
      <c r="N27" s="356">
        <v>0</v>
      </c>
    </row>
    <row r="28" spans="1:14" s="266" customFormat="1" ht="13.5" thickBot="1">
      <c r="A28" s="1493"/>
      <c r="B28" s="1691"/>
      <c r="C28" s="1500"/>
      <c r="D28" s="1491"/>
      <c r="E28" s="1707"/>
      <c r="F28" s="1710"/>
      <c r="G28" s="1710"/>
      <c r="H28" s="1477"/>
      <c r="I28" s="955">
        <f t="shared" si="0"/>
        <v>0</v>
      </c>
      <c r="J28" s="360">
        <v>0</v>
      </c>
      <c r="K28" s="359">
        <v>0</v>
      </c>
      <c r="L28" s="955">
        <f t="shared" si="1"/>
        <v>83</v>
      </c>
      <c r="M28" s="360">
        <v>83</v>
      </c>
      <c r="N28" s="955">
        <v>0</v>
      </c>
    </row>
    <row r="29" spans="1:14" s="266" customFormat="1" ht="12.75">
      <c r="A29" s="1492">
        <v>10</v>
      </c>
      <c r="B29" s="1690" t="s">
        <v>962</v>
      </c>
      <c r="C29" s="1499" t="s">
        <v>239</v>
      </c>
      <c r="D29" s="1490" t="s">
        <v>49</v>
      </c>
      <c r="E29" s="1472" t="s">
        <v>1384</v>
      </c>
      <c r="F29" s="1472">
        <f>G29+H29</f>
        <v>1.178</v>
      </c>
      <c r="G29" s="1476">
        <v>0</v>
      </c>
      <c r="H29" s="1467">
        <v>1.178</v>
      </c>
      <c r="I29" s="1059">
        <f t="shared" si="0"/>
        <v>0</v>
      </c>
      <c r="J29" s="1063">
        <v>0</v>
      </c>
      <c r="K29" s="1061">
        <v>0</v>
      </c>
      <c r="L29" s="1059">
        <f t="shared" si="1"/>
        <v>3</v>
      </c>
      <c r="M29" s="1063">
        <v>3</v>
      </c>
      <c r="N29" s="1059">
        <v>0</v>
      </c>
    </row>
    <row r="30" spans="1:14" s="266" customFormat="1" ht="21" customHeight="1" thickBot="1">
      <c r="A30" s="1493"/>
      <c r="B30" s="1691"/>
      <c r="C30" s="1500"/>
      <c r="D30" s="1491"/>
      <c r="E30" s="1473"/>
      <c r="F30" s="1473"/>
      <c r="G30" s="1477"/>
      <c r="H30" s="1468"/>
      <c r="I30" s="955">
        <f t="shared" si="0"/>
        <v>0</v>
      </c>
      <c r="J30" s="360">
        <v>0</v>
      </c>
      <c r="K30" s="980">
        <v>0</v>
      </c>
      <c r="L30" s="955">
        <f t="shared" si="1"/>
        <v>43</v>
      </c>
      <c r="M30" s="360">
        <v>43</v>
      </c>
      <c r="N30" s="955">
        <v>0</v>
      </c>
    </row>
    <row r="31" spans="1:14" s="266" customFormat="1" ht="12.75">
      <c r="A31" s="1492">
        <v>11</v>
      </c>
      <c r="B31" s="1690" t="s">
        <v>967</v>
      </c>
      <c r="C31" s="1499" t="s">
        <v>241</v>
      </c>
      <c r="D31" s="1490" t="s">
        <v>27</v>
      </c>
      <c r="E31" s="1472" t="s">
        <v>1262</v>
      </c>
      <c r="F31" s="1467">
        <f>G31+H31</f>
        <v>35.507</v>
      </c>
      <c r="G31" s="1467">
        <v>35.507</v>
      </c>
      <c r="H31" s="1476">
        <v>0</v>
      </c>
      <c r="I31" s="356">
        <f t="shared" si="0"/>
        <v>0</v>
      </c>
      <c r="J31" s="357">
        <v>0</v>
      </c>
      <c r="K31" s="358">
        <v>0</v>
      </c>
      <c r="L31" s="356">
        <f t="shared" si="1"/>
        <v>27</v>
      </c>
      <c r="M31" s="357">
        <v>21</v>
      </c>
      <c r="N31" s="356">
        <v>6</v>
      </c>
    </row>
    <row r="32" spans="1:14" s="266" customFormat="1" ht="13.5" thickBot="1">
      <c r="A32" s="1493"/>
      <c r="B32" s="1691"/>
      <c r="C32" s="1500"/>
      <c r="D32" s="1491"/>
      <c r="E32" s="1473"/>
      <c r="F32" s="1468"/>
      <c r="G32" s="1468"/>
      <c r="H32" s="1477"/>
      <c r="I32" s="955">
        <f t="shared" si="0"/>
        <v>0</v>
      </c>
      <c r="J32" s="360">
        <v>0</v>
      </c>
      <c r="K32" s="980">
        <v>0</v>
      </c>
      <c r="L32" s="955">
        <f t="shared" si="1"/>
        <v>475</v>
      </c>
      <c r="M32" s="360">
        <v>379</v>
      </c>
      <c r="N32" s="955">
        <v>96</v>
      </c>
    </row>
    <row r="33" spans="1:14" s="266" customFormat="1" ht="12.75">
      <c r="A33" s="1492">
        <v>12</v>
      </c>
      <c r="B33" s="1690" t="s">
        <v>968</v>
      </c>
      <c r="C33" s="1499" t="s">
        <v>242</v>
      </c>
      <c r="D33" s="1490" t="s">
        <v>49</v>
      </c>
      <c r="E33" s="1490" t="s">
        <v>1349</v>
      </c>
      <c r="F33" s="1467">
        <f>G33+H33</f>
        <v>1.045</v>
      </c>
      <c r="G33" s="1476">
        <v>0</v>
      </c>
      <c r="H33" s="1467">
        <v>1.045</v>
      </c>
      <c r="I33" s="356">
        <f t="shared" si="0"/>
        <v>0</v>
      </c>
      <c r="J33" s="357">
        <v>0</v>
      </c>
      <c r="K33" s="358">
        <v>0</v>
      </c>
      <c r="L33" s="356">
        <f t="shared" si="1"/>
        <v>1</v>
      </c>
      <c r="M33" s="357">
        <v>1</v>
      </c>
      <c r="N33" s="356">
        <v>0</v>
      </c>
    </row>
    <row r="34" spans="1:14" s="266" customFormat="1" ht="13.5" thickBot="1">
      <c r="A34" s="1493"/>
      <c r="B34" s="1691"/>
      <c r="C34" s="1500"/>
      <c r="D34" s="1491"/>
      <c r="E34" s="1491"/>
      <c r="F34" s="1468"/>
      <c r="G34" s="1477"/>
      <c r="H34" s="1468"/>
      <c r="I34" s="955">
        <f t="shared" si="0"/>
        <v>0</v>
      </c>
      <c r="J34" s="360">
        <v>0</v>
      </c>
      <c r="K34" s="980">
        <v>0</v>
      </c>
      <c r="L34" s="955">
        <f t="shared" si="1"/>
        <v>17</v>
      </c>
      <c r="M34" s="360">
        <v>17</v>
      </c>
      <c r="N34" s="955">
        <v>0</v>
      </c>
    </row>
    <row r="35" spans="1:14" s="266" customFormat="1" ht="12.75">
      <c r="A35" s="1492">
        <v>13</v>
      </c>
      <c r="B35" s="1690" t="s">
        <v>970</v>
      </c>
      <c r="C35" s="1499" t="s">
        <v>444</v>
      </c>
      <c r="D35" s="1490" t="s">
        <v>27</v>
      </c>
      <c r="E35" s="1490" t="s">
        <v>1357</v>
      </c>
      <c r="F35" s="1467">
        <f>G35+H35</f>
        <v>10.179</v>
      </c>
      <c r="G35" s="1476">
        <v>0</v>
      </c>
      <c r="H35" s="1467">
        <v>10.179</v>
      </c>
      <c r="I35" s="356">
        <f t="shared" si="0"/>
        <v>0</v>
      </c>
      <c r="J35" s="357">
        <v>0</v>
      </c>
      <c r="K35" s="358">
        <v>0</v>
      </c>
      <c r="L35" s="356">
        <f t="shared" si="1"/>
        <v>3</v>
      </c>
      <c r="M35" s="357">
        <v>3</v>
      </c>
      <c r="N35" s="356">
        <v>0</v>
      </c>
    </row>
    <row r="36" spans="1:14" s="266" customFormat="1" ht="13.5" thickBot="1">
      <c r="A36" s="1493"/>
      <c r="B36" s="1691"/>
      <c r="C36" s="1500"/>
      <c r="D36" s="1491"/>
      <c r="E36" s="1491"/>
      <c r="F36" s="1468"/>
      <c r="G36" s="1477"/>
      <c r="H36" s="1468"/>
      <c r="I36" s="955">
        <f t="shared" si="0"/>
        <v>0</v>
      </c>
      <c r="J36" s="360">
        <v>0</v>
      </c>
      <c r="K36" s="980">
        <v>0</v>
      </c>
      <c r="L36" s="955">
        <f t="shared" si="1"/>
        <v>52</v>
      </c>
      <c r="M36" s="360">
        <v>52</v>
      </c>
      <c r="N36" s="955">
        <v>0</v>
      </c>
    </row>
    <row r="37" spans="1:14" s="266" customFormat="1" ht="12.75">
      <c r="A37" s="1492">
        <v>14</v>
      </c>
      <c r="B37" s="1690" t="s">
        <v>971</v>
      </c>
      <c r="C37" s="1499" t="s">
        <v>244</v>
      </c>
      <c r="D37" s="1490" t="s">
        <v>102</v>
      </c>
      <c r="E37" s="1490" t="s">
        <v>1350</v>
      </c>
      <c r="F37" s="1467">
        <f>G37+H37</f>
        <v>8.141</v>
      </c>
      <c r="G37" s="1467">
        <v>8.141</v>
      </c>
      <c r="H37" s="1476">
        <v>0</v>
      </c>
      <c r="I37" s="356">
        <f t="shared" si="0"/>
        <v>0</v>
      </c>
      <c r="J37" s="357">
        <v>0</v>
      </c>
      <c r="K37" s="358">
        <v>0</v>
      </c>
      <c r="L37" s="356">
        <f t="shared" si="1"/>
        <v>6</v>
      </c>
      <c r="M37" s="357">
        <v>4</v>
      </c>
      <c r="N37" s="356">
        <v>2</v>
      </c>
    </row>
    <row r="38" spans="1:14" s="266" customFormat="1" ht="13.5" thickBot="1">
      <c r="A38" s="1493"/>
      <c r="B38" s="1691"/>
      <c r="C38" s="1500"/>
      <c r="D38" s="1491"/>
      <c r="E38" s="1491"/>
      <c r="F38" s="1468"/>
      <c r="G38" s="1468"/>
      <c r="H38" s="1477"/>
      <c r="I38" s="955">
        <f t="shared" si="0"/>
        <v>0</v>
      </c>
      <c r="J38" s="360">
        <v>0</v>
      </c>
      <c r="K38" s="980">
        <v>0</v>
      </c>
      <c r="L38" s="955">
        <f t="shared" si="1"/>
        <v>109</v>
      </c>
      <c r="M38" s="360">
        <v>71</v>
      </c>
      <c r="N38" s="955">
        <v>38</v>
      </c>
    </row>
    <row r="39" spans="1:14" s="266" customFormat="1" ht="12.75">
      <c r="A39" s="1492">
        <v>15</v>
      </c>
      <c r="B39" s="1690" t="s">
        <v>972</v>
      </c>
      <c r="C39" s="1499" t="s">
        <v>245</v>
      </c>
      <c r="D39" s="1490" t="s">
        <v>27</v>
      </c>
      <c r="E39" s="1490" t="s">
        <v>1345</v>
      </c>
      <c r="F39" s="1472">
        <f>G39+H39</f>
        <v>4.608</v>
      </c>
      <c r="G39" s="1476">
        <v>0.6</v>
      </c>
      <c r="H39" s="1467">
        <v>4.008</v>
      </c>
      <c r="I39" s="356">
        <f t="shared" si="0"/>
        <v>0</v>
      </c>
      <c r="J39" s="357">
        <v>0</v>
      </c>
      <c r="K39" s="358">
        <v>0</v>
      </c>
      <c r="L39" s="356">
        <f t="shared" si="1"/>
        <v>4</v>
      </c>
      <c r="M39" s="357">
        <v>4</v>
      </c>
      <c r="N39" s="356">
        <v>0</v>
      </c>
    </row>
    <row r="40" spans="1:14" s="266" customFormat="1" ht="13.5" thickBot="1">
      <c r="A40" s="1493"/>
      <c r="B40" s="1691"/>
      <c r="C40" s="1500"/>
      <c r="D40" s="1491"/>
      <c r="E40" s="1491"/>
      <c r="F40" s="1473"/>
      <c r="G40" s="1477"/>
      <c r="H40" s="1468"/>
      <c r="I40" s="955">
        <f t="shared" si="0"/>
        <v>0</v>
      </c>
      <c r="J40" s="360">
        <v>0</v>
      </c>
      <c r="K40" s="980">
        <v>0</v>
      </c>
      <c r="L40" s="955">
        <f t="shared" si="1"/>
        <v>65</v>
      </c>
      <c r="M40" s="360">
        <v>65</v>
      </c>
      <c r="N40" s="955">
        <v>0</v>
      </c>
    </row>
    <row r="41" spans="1:14" s="266" customFormat="1" ht="12.75">
      <c r="A41" s="1492">
        <v>16</v>
      </c>
      <c r="B41" s="1690" t="s">
        <v>973</v>
      </c>
      <c r="C41" s="1499" t="s">
        <v>247</v>
      </c>
      <c r="D41" s="1490" t="s">
        <v>49</v>
      </c>
      <c r="E41" s="1490" t="s">
        <v>1347</v>
      </c>
      <c r="F41" s="1472">
        <f>G41+H41</f>
        <v>0.72</v>
      </c>
      <c r="G41" s="1476">
        <v>0.72</v>
      </c>
      <c r="H41" s="1476">
        <v>0</v>
      </c>
      <c r="I41" s="356">
        <f t="shared" si="0"/>
        <v>0</v>
      </c>
      <c r="J41" s="357">
        <v>0</v>
      </c>
      <c r="K41" s="358">
        <v>0</v>
      </c>
      <c r="L41" s="356">
        <f t="shared" si="1"/>
        <v>1</v>
      </c>
      <c r="M41" s="357">
        <v>1</v>
      </c>
      <c r="N41" s="356">
        <v>0</v>
      </c>
    </row>
    <row r="42" spans="1:14" s="266" customFormat="1" ht="13.5" thickBot="1">
      <c r="A42" s="1493"/>
      <c r="B42" s="1691"/>
      <c r="C42" s="1500"/>
      <c r="D42" s="1491"/>
      <c r="E42" s="1491"/>
      <c r="F42" s="1473"/>
      <c r="G42" s="1477"/>
      <c r="H42" s="1477"/>
      <c r="I42" s="955">
        <f t="shared" si="0"/>
        <v>0</v>
      </c>
      <c r="J42" s="360">
        <v>0</v>
      </c>
      <c r="K42" s="980">
        <v>0</v>
      </c>
      <c r="L42" s="955">
        <f t="shared" si="1"/>
        <v>17</v>
      </c>
      <c r="M42" s="360">
        <v>17</v>
      </c>
      <c r="N42" s="955">
        <v>0</v>
      </c>
    </row>
    <row r="43" spans="1:14" s="266" customFormat="1" ht="12.75">
      <c r="A43" s="1492">
        <v>17</v>
      </c>
      <c r="B43" s="1690" t="s">
        <v>974</v>
      </c>
      <c r="C43" s="1499" t="s">
        <v>243</v>
      </c>
      <c r="D43" s="1490" t="s">
        <v>49</v>
      </c>
      <c r="E43" s="1490" t="s">
        <v>584</v>
      </c>
      <c r="F43" s="1467">
        <f>G43+H43</f>
        <v>3.625</v>
      </c>
      <c r="G43" s="1476">
        <v>0</v>
      </c>
      <c r="H43" s="1467">
        <v>3.625</v>
      </c>
      <c r="I43" s="356">
        <f t="shared" si="0"/>
        <v>1</v>
      </c>
      <c r="J43" s="357">
        <v>1</v>
      </c>
      <c r="K43" s="358">
        <v>0</v>
      </c>
      <c r="L43" s="356">
        <f t="shared" si="1"/>
        <v>2</v>
      </c>
      <c r="M43" s="357">
        <v>2</v>
      </c>
      <c r="N43" s="356">
        <v>0</v>
      </c>
    </row>
    <row r="44" spans="1:14" s="266" customFormat="1" ht="13.5" thickBot="1">
      <c r="A44" s="1493"/>
      <c r="B44" s="1691"/>
      <c r="C44" s="1500"/>
      <c r="D44" s="1491"/>
      <c r="E44" s="1491"/>
      <c r="F44" s="1468"/>
      <c r="G44" s="1477"/>
      <c r="H44" s="1468"/>
      <c r="I44" s="957">
        <f t="shared" si="0"/>
        <v>36.6</v>
      </c>
      <c r="J44" s="487">
        <v>36.6</v>
      </c>
      <c r="K44" s="980">
        <v>0</v>
      </c>
      <c r="L44" s="955">
        <f t="shared" si="1"/>
        <v>25</v>
      </c>
      <c r="M44" s="360">
        <v>25</v>
      </c>
      <c r="N44" s="955">
        <v>0</v>
      </c>
    </row>
    <row r="45" spans="1:14" s="266" customFormat="1" ht="12.75">
      <c r="A45" s="1492">
        <v>18</v>
      </c>
      <c r="B45" s="1690" t="s">
        <v>976</v>
      </c>
      <c r="C45" s="1499" t="s">
        <v>246</v>
      </c>
      <c r="D45" s="1490" t="s">
        <v>27</v>
      </c>
      <c r="E45" s="1490" t="s">
        <v>1352</v>
      </c>
      <c r="F45" s="1472">
        <f>G45+H45</f>
        <v>2.544</v>
      </c>
      <c r="G45" s="1476">
        <v>0</v>
      </c>
      <c r="H45" s="1467">
        <v>2.544</v>
      </c>
      <c r="I45" s="356">
        <f t="shared" si="0"/>
        <v>0</v>
      </c>
      <c r="J45" s="357">
        <v>0</v>
      </c>
      <c r="K45" s="358">
        <v>0</v>
      </c>
      <c r="L45" s="356">
        <f t="shared" si="1"/>
        <v>3</v>
      </c>
      <c r="M45" s="357">
        <v>3</v>
      </c>
      <c r="N45" s="356">
        <v>0</v>
      </c>
    </row>
    <row r="46" spans="1:14" s="266" customFormat="1" ht="13.5" thickBot="1">
      <c r="A46" s="1493"/>
      <c r="B46" s="1691"/>
      <c r="C46" s="1500"/>
      <c r="D46" s="1491"/>
      <c r="E46" s="1491"/>
      <c r="F46" s="1473"/>
      <c r="G46" s="1477"/>
      <c r="H46" s="1468"/>
      <c r="I46" s="955">
        <f t="shared" si="0"/>
        <v>0</v>
      </c>
      <c r="J46" s="360">
        <v>0</v>
      </c>
      <c r="K46" s="980">
        <v>0</v>
      </c>
      <c r="L46" s="955">
        <f t="shared" si="1"/>
        <v>32</v>
      </c>
      <c r="M46" s="360">
        <v>32</v>
      </c>
      <c r="N46" s="955">
        <v>0</v>
      </c>
    </row>
    <row r="47" spans="1:14" s="266" customFormat="1" ht="12.75">
      <c r="A47" s="1492">
        <v>19</v>
      </c>
      <c r="B47" s="1690" t="s">
        <v>977</v>
      </c>
      <c r="C47" s="1499" t="s">
        <v>248</v>
      </c>
      <c r="D47" s="1490" t="s">
        <v>27</v>
      </c>
      <c r="E47" s="1490" t="s">
        <v>1346</v>
      </c>
      <c r="F47" s="1472">
        <f>G47+H47</f>
        <v>0.629</v>
      </c>
      <c r="G47" s="1467">
        <v>0.629</v>
      </c>
      <c r="H47" s="1476">
        <v>0</v>
      </c>
      <c r="I47" s="356">
        <f t="shared" si="0"/>
        <v>0</v>
      </c>
      <c r="J47" s="357">
        <v>0</v>
      </c>
      <c r="K47" s="356">
        <v>0</v>
      </c>
      <c r="L47" s="356">
        <f t="shared" si="1"/>
        <v>2</v>
      </c>
      <c r="M47" s="357">
        <v>1</v>
      </c>
      <c r="N47" s="356">
        <v>1</v>
      </c>
    </row>
    <row r="48" spans="1:14" s="266" customFormat="1" ht="13.5" thickBot="1">
      <c r="A48" s="1493"/>
      <c r="B48" s="1691"/>
      <c r="C48" s="1500"/>
      <c r="D48" s="1491"/>
      <c r="E48" s="1491"/>
      <c r="F48" s="1473"/>
      <c r="G48" s="1468"/>
      <c r="H48" s="1477"/>
      <c r="I48" s="955">
        <f t="shared" si="0"/>
        <v>0</v>
      </c>
      <c r="J48" s="360">
        <v>0</v>
      </c>
      <c r="K48" s="955">
        <v>0</v>
      </c>
      <c r="L48" s="955">
        <f t="shared" si="1"/>
        <v>26</v>
      </c>
      <c r="M48" s="360">
        <v>15</v>
      </c>
      <c r="N48" s="955">
        <v>11</v>
      </c>
    </row>
    <row r="49" spans="1:14" s="266" customFormat="1" ht="12.75">
      <c r="A49" s="1492">
        <v>20</v>
      </c>
      <c r="B49" s="1690" t="s">
        <v>989</v>
      </c>
      <c r="C49" s="1499" t="s">
        <v>249</v>
      </c>
      <c r="D49" s="1490" t="s">
        <v>49</v>
      </c>
      <c r="E49" s="1490" t="s">
        <v>1368</v>
      </c>
      <c r="F49" s="1472">
        <f>G49+H49</f>
        <v>4.009</v>
      </c>
      <c r="G49" s="1467">
        <v>0.5</v>
      </c>
      <c r="H49" s="1467">
        <v>3.509</v>
      </c>
      <c r="I49" s="954">
        <f t="shared" si="0"/>
        <v>0</v>
      </c>
      <c r="J49" s="1064">
        <v>0</v>
      </c>
      <c r="K49" s="954">
        <v>0</v>
      </c>
      <c r="L49" s="492">
        <f t="shared" si="1"/>
        <v>9</v>
      </c>
      <c r="M49" s="492">
        <v>4</v>
      </c>
      <c r="N49" s="954">
        <v>5</v>
      </c>
    </row>
    <row r="50" spans="1:14" s="266" customFormat="1" ht="13.5" thickBot="1">
      <c r="A50" s="1493"/>
      <c r="B50" s="1691"/>
      <c r="C50" s="1500"/>
      <c r="D50" s="1491"/>
      <c r="E50" s="1491"/>
      <c r="F50" s="1473"/>
      <c r="G50" s="1468"/>
      <c r="H50" s="1468"/>
      <c r="I50" s="955">
        <f t="shared" si="0"/>
        <v>0</v>
      </c>
      <c r="J50" s="359">
        <v>0</v>
      </c>
      <c r="K50" s="955">
        <v>0</v>
      </c>
      <c r="L50" s="360">
        <f t="shared" si="1"/>
        <v>106</v>
      </c>
      <c r="M50" s="360">
        <v>42</v>
      </c>
      <c r="N50" s="955">
        <v>64</v>
      </c>
    </row>
    <row r="51" spans="1:14" s="266" customFormat="1" ht="12.75">
      <c r="A51" s="1492">
        <v>21</v>
      </c>
      <c r="B51" s="1690" t="s">
        <v>990</v>
      </c>
      <c r="C51" s="1499" t="s">
        <v>430</v>
      </c>
      <c r="D51" s="1490" t="s">
        <v>27</v>
      </c>
      <c r="E51" s="1706" t="s">
        <v>1351</v>
      </c>
      <c r="F51" s="1472">
        <f>G51+H51</f>
        <v>1.411</v>
      </c>
      <c r="G51" s="1467">
        <v>1.411</v>
      </c>
      <c r="H51" s="1476">
        <v>0</v>
      </c>
      <c r="I51" s="356">
        <f t="shared" si="0"/>
        <v>0</v>
      </c>
      <c r="J51" s="355">
        <v>0</v>
      </c>
      <c r="K51" s="358">
        <v>0</v>
      </c>
      <c r="L51" s="356">
        <f t="shared" si="1"/>
        <v>2</v>
      </c>
      <c r="M51" s="355">
        <v>2</v>
      </c>
      <c r="N51" s="356">
        <v>0</v>
      </c>
    </row>
    <row r="52" spans="1:14" s="266" customFormat="1" ht="13.5" thickBot="1">
      <c r="A52" s="1493"/>
      <c r="B52" s="1691"/>
      <c r="C52" s="1500"/>
      <c r="D52" s="1491"/>
      <c r="E52" s="1707"/>
      <c r="F52" s="1473"/>
      <c r="G52" s="1468"/>
      <c r="H52" s="1477"/>
      <c r="I52" s="955">
        <f t="shared" si="0"/>
        <v>0</v>
      </c>
      <c r="J52" s="359">
        <v>0</v>
      </c>
      <c r="K52" s="980">
        <v>0</v>
      </c>
      <c r="L52" s="955">
        <f t="shared" si="1"/>
        <v>49</v>
      </c>
      <c r="M52" s="359">
        <v>49</v>
      </c>
      <c r="N52" s="955">
        <v>0</v>
      </c>
    </row>
    <row r="53" spans="1:14" s="266" customFormat="1" ht="12.75">
      <c r="A53" s="1492">
        <v>22</v>
      </c>
      <c r="B53" s="1690" t="s">
        <v>1191</v>
      </c>
      <c r="C53" s="1499" t="s">
        <v>1249</v>
      </c>
      <c r="D53" s="1490" t="s">
        <v>27</v>
      </c>
      <c r="E53" s="1712" t="s">
        <v>1200</v>
      </c>
      <c r="F53" s="1472">
        <f>G53+H53</f>
        <v>3.102</v>
      </c>
      <c r="G53" s="1467">
        <v>3.102</v>
      </c>
      <c r="H53" s="1476">
        <v>0</v>
      </c>
      <c r="I53" s="356">
        <f t="shared" si="0"/>
        <v>0</v>
      </c>
      <c r="J53" s="355">
        <v>0</v>
      </c>
      <c r="K53" s="356">
        <v>0</v>
      </c>
      <c r="L53" s="357">
        <f t="shared" si="1"/>
        <v>16</v>
      </c>
      <c r="M53" s="357">
        <v>13</v>
      </c>
      <c r="N53" s="358">
        <v>3</v>
      </c>
    </row>
    <row r="54" spans="1:14" s="266" customFormat="1" ht="16.5" customHeight="1" thickBot="1">
      <c r="A54" s="1493"/>
      <c r="B54" s="1691"/>
      <c r="C54" s="1500"/>
      <c r="D54" s="1491"/>
      <c r="E54" s="1713"/>
      <c r="F54" s="1473"/>
      <c r="G54" s="1468"/>
      <c r="H54" s="1477"/>
      <c r="I54" s="955">
        <f t="shared" si="0"/>
        <v>0</v>
      </c>
      <c r="J54" s="359">
        <v>0</v>
      </c>
      <c r="K54" s="955">
        <v>0</v>
      </c>
      <c r="L54" s="360">
        <f t="shared" si="1"/>
        <v>172</v>
      </c>
      <c r="M54" s="360">
        <v>144</v>
      </c>
      <c r="N54" s="980">
        <v>28</v>
      </c>
    </row>
    <row r="55" spans="1:14" s="2" customFormat="1" ht="12.75">
      <c r="A55" s="361"/>
      <c r="B55" s="343"/>
      <c r="C55" s="1688" t="s">
        <v>229</v>
      </c>
      <c r="D55" s="362"/>
      <c r="E55" s="363"/>
      <c r="F55" s="364">
        <f>G55+H55</f>
        <v>205.48899999999995</v>
      </c>
      <c r="G55" s="810">
        <f>G8+G10+G15+G17+G19+G21+G23+G25+G27+G29+G31+G33+G35+G37+G39+G41+G43+G45+G47+G49+G51+G53</f>
        <v>176.66999999999996</v>
      </c>
      <c r="H55" s="810">
        <f>H8+H10+H15+H17+H19+H21+H23+H25+H27+H29+H31+H33+H35+H37+H39+H41+H43+H45+H47+H49+H51+H53</f>
        <v>28.819</v>
      </c>
      <c r="I55" s="344">
        <f>J55+K55</f>
        <v>8</v>
      </c>
      <c r="J55" s="812">
        <f>J8+J10+J15+J17+J19+J21+J23+J25+J27+J29+J31+J33+J35+J37+J39+J41+J43+J45+J47+J49+J51+J53</f>
        <v>6</v>
      </c>
      <c r="K55" s="344">
        <f>K8+K10+K15+K17+K19+K21+K23+K25+K27+K29+K31+K33+K35+K37+K39+K41+K43+K45+K47+K49+K51+K53</f>
        <v>2</v>
      </c>
      <c r="L55" s="812">
        <f>M55+N55</f>
        <v>201</v>
      </c>
      <c r="M55" s="344">
        <f>M8+M10+M15+M17+M19+M21+M23+M25+M27+M29+M31+M33+M35+M37+M39+M41+M43+M45+M47+M49+M51+M53</f>
        <v>170</v>
      </c>
      <c r="N55" s="812">
        <f>N8+N10+N15+N17+N19+N21+N23+N25+N27+N29+N31+N33+N35+N37+N39+N41+N43+N45+N47+N49+N51+N53</f>
        <v>31</v>
      </c>
    </row>
    <row r="56" spans="1:14" s="2" customFormat="1" ht="13.5" thickBot="1">
      <c r="A56" s="365"/>
      <c r="B56" s="232"/>
      <c r="C56" s="1487"/>
      <c r="D56" s="366"/>
      <c r="E56" s="233"/>
      <c r="F56" s="233"/>
      <c r="G56" s="367"/>
      <c r="H56" s="811"/>
      <c r="I56" s="368">
        <f>J56+K56</f>
        <v>359.48</v>
      </c>
      <c r="J56" s="813">
        <f>J9+J11+J16+J18+J20+J22+J24+J26+J28+J30+J32+J34+J36+J38+J40+J42+J44+J46+J48+J50+J52+J54</f>
        <v>228.23999999999998</v>
      </c>
      <c r="K56" s="368">
        <f>K9+K11+K16+K18+K20+K22+K24+K26+K28+K30+K32+K34+K36+K38+K40+K42+K44+K46+K48+K50+K52+K54</f>
        <v>131.24</v>
      </c>
      <c r="L56" s="813">
        <f>M56+N56</f>
        <v>3418</v>
      </c>
      <c r="M56" s="368">
        <f>M9+M11+M16+M18+M20+M22+M24+M26+M28+M30+M32+M34+M36+M38+M40+M42+M44+M46+M48+M50+M52+M54</f>
        <v>2960</v>
      </c>
      <c r="N56" s="813">
        <f>N9+N11+N16+N18+N20+N22+N24+N26+N28+N30+N32+N34+N36+N38+N40+N42+N44+N46+N48+N50+N52+N54</f>
        <v>458</v>
      </c>
    </row>
    <row r="57" spans="1:14" ht="12.75">
      <c r="A57" s="153"/>
      <c r="B57" s="153"/>
      <c r="C57" s="1686" t="s">
        <v>454</v>
      </c>
      <c r="D57" s="235" t="s">
        <v>450</v>
      </c>
      <c r="E57" s="236"/>
      <c r="F57" s="237">
        <f>SUMIF($D$21:$D$54,"=I",F21:F54)</f>
        <v>0</v>
      </c>
      <c r="G57" s="237">
        <f>SUMIF($D$21:$D$54,"=I",G21:G54)</f>
        <v>0</v>
      </c>
      <c r="H57" s="237">
        <f>SUMIF($D$21:$D$54,"=I",H21:H54)</f>
        <v>0</v>
      </c>
      <c r="I57" s="53"/>
      <c r="J57" s="53"/>
      <c r="K57" s="53"/>
      <c r="L57" s="53"/>
      <c r="M57" s="53"/>
      <c r="N57" s="53"/>
    </row>
    <row r="58" spans="1:14" ht="12.75">
      <c r="A58" s="153"/>
      <c r="B58" s="153"/>
      <c r="C58" s="1687"/>
      <c r="D58" s="239" t="s">
        <v>100</v>
      </c>
      <c r="E58" s="240"/>
      <c r="F58" s="243">
        <f>SUMIF($D$8:$D$54,"=II",F8:F54)</f>
        <v>8.899</v>
      </c>
      <c r="G58" s="243">
        <f>SUMIF($D$8:$D$54,"=II",G8:G54)</f>
        <v>8.899</v>
      </c>
      <c r="H58" s="243">
        <f>SUMIF($D$8:$D$54,"=II",H8:H54)</f>
        <v>0</v>
      </c>
      <c r="I58" s="53"/>
      <c r="J58" s="53"/>
      <c r="K58" s="53"/>
      <c r="L58" s="53"/>
      <c r="M58" s="53"/>
      <c r="N58" s="53"/>
    </row>
    <row r="59" spans="1:14" ht="12.75">
      <c r="A59" s="153"/>
      <c r="B59" s="153"/>
      <c r="C59" s="1687"/>
      <c r="D59" s="242" t="s">
        <v>102</v>
      </c>
      <c r="E59" s="240"/>
      <c r="F59" s="243">
        <f>SUMIF($D$8:$D$54,"=III",F8:F54)</f>
        <v>51.586</v>
      </c>
      <c r="G59" s="243">
        <f>SUMIF($D$8:$D$54,"=III",G8:G54)</f>
        <v>51.586</v>
      </c>
      <c r="H59" s="243">
        <f>SUMIF($D$8:$D$54,"=III",H8:H54)</f>
        <v>0</v>
      </c>
      <c r="I59" s="53"/>
      <c r="J59" s="53"/>
      <c r="K59" s="53"/>
      <c r="L59" s="53"/>
      <c r="M59" s="53"/>
      <c r="N59" s="53"/>
    </row>
    <row r="60" spans="1:14" ht="12.75">
      <c r="A60" s="153"/>
      <c r="B60" s="153"/>
      <c r="C60" s="1687"/>
      <c r="D60" s="240" t="s">
        <v>27</v>
      </c>
      <c r="E60" s="244"/>
      <c r="F60" s="243">
        <f>SUMIF($D$8:$D$54,"=IV",F8:F54)</f>
        <v>131.124</v>
      </c>
      <c r="G60" s="243">
        <f>SUMIF($D$8:$D$54,"=IV",G8:G54)</f>
        <v>111.66199999999999</v>
      </c>
      <c r="H60" s="243">
        <f>SUMIF($D$8:$D$54,"=IV",H8:H54)</f>
        <v>19.462</v>
      </c>
      <c r="I60" s="53"/>
      <c r="J60" s="53"/>
      <c r="K60" s="53"/>
      <c r="L60" s="53"/>
      <c r="M60" s="53"/>
      <c r="N60" s="53"/>
    </row>
    <row r="61" spans="1:14" ht="12.75">
      <c r="A61" s="154"/>
      <c r="B61" s="154"/>
      <c r="C61" s="1687"/>
      <c r="D61" s="240" t="s">
        <v>49</v>
      </c>
      <c r="E61" s="241"/>
      <c r="F61" s="243">
        <f>SUMIF($D$8:$D$54,"=V",F8:F54)</f>
        <v>13.879999999999999</v>
      </c>
      <c r="G61" s="243">
        <f>SUMIF($D$8:$D$54,"=V",G8:G54)</f>
        <v>4.523</v>
      </c>
      <c r="H61" s="243">
        <f>SUMIF($D$8:$D$54,"=V",H8:H54)</f>
        <v>9.357</v>
      </c>
      <c r="I61" s="53"/>
      <c r="J61" s="53"/>
      <c r="K61" s="53"/>
      <c r="L61" s="53"/>
      <c r="M61" s="53"/>
      <c r="N61" s="53"/>
    </row>
    <row r="62" spans="1:8" ht="12.75">
      <c r="A62" s="31"/>
      <c r="C62" s="8"/>
      <c r="D62" s="8"/>
      <c r="E62" s="4"/>
      <c r="F62" s="52"/>
      <c r="G62" s="52"/>
      <c r="H62" s="52"/>
    </row>
    <row r="63" spans="3:5" ht="12.75">
      <c r="C63" s="6"/>
      <c r="D63" s="6"/>
      <c r="E63" s="4"/>
    </row>
    <row r="64" spans="3:5" ht="12.75">
      <c r="C64" s="8"/>
      <c r="D64" s="8"/>
      <c r="E64" s="4"/>
    </row>
    <row r="65" spans="3:5" ht="12.75">
      <c r="C65" s="7"/>
      <c r="D65" s="7"/>
      <c r="E65" s="5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</sheetData>
  <sheetProtection/>
  <mergeCells count="196">
    <mergeCell ref="G19:G20"/>
    <mergeCell ref="H19:H20"/>
    <mergeCell ref="A19:A20"/>
    <mergeCell ref="B19:B20"/>
    <mergeCell ref="C19:C20"/>
    <mergeCell ref="D19:D20"/>
    <mergeCell ref="E19:E20"/>
    <mergeCell ref="F19:F20"/>
    <mergeCell ref="G17:G18"/>
    <mergeCell ref="H17:H18"/>
    <mergeCell ref="A17:A18"/>
    <mergeCell ref="B17:B18"/>
    <mergeCell ref="C17:C18"/>
    <mergeCell ref="D17:D18"/>
    <mergeCell ref="E17:E18"/>
    <mergeCell ref="F17:F18"/>
    <mergeCell ref="G15:G16"/>
    <mergeCell ref="H15:H16"/>
    <mergeCell ref="A15:A16"/>
    <mergeCell ref="B15:B16"/>
    <mergeCell ref="C15:C16"/>
    <mergeCell ref="D15:D16"/>
    <mergeCell ref="E15:E16"/>
    <mergeCell ref="F15:F16"/>
    <mergeCell ref="G10:G11"/>
    <mergeCell ref="H10:H11"/>
    <mergeCell ref="A10:A13"/>
    <mergeCell ref="B10:B13"/>
    <mergeCell ref="C10:C11"/>
    <mergeCell ref="D10:D11"/>
    <mergeCell ref="E10:E11"/>
    <mergeCell ref="F10:F11"/>
    <mergeCell ref="G53:G54"/>
    <mergeCell ref="B53:B54"/>
    <mergeCell ref="C53:C54"/>
    <mergeCell ref="D53:D54"/>
    <mergeCell ref="E53:E54"/>
    <mergeCell ref="H53:H54"/>
    <mergeCell ref="A53:A54"/>
    <mergeCell ref="F53:F54"/>
    <mergeCell ref="L5:N5"/>
    <mergeCell ref="M6:N6"/>
    <mergeCell ref="G5:H5"/>
    <mergeCell ref="H6:H7"/>
    <mergeCell ref="G6:G7"/>
    <mergeCell ref="I6:I7"/>
    <mergeCell ref="L6:L7"/>
    <mergeCell ref="G51:G52"/>
    <mergeCell ref="G25:G26"/>
    <mergeCell ref="H27:H28"/>
    <mergeCell ref="H25:H26"/>
    <mergeCell ref="H31:H32"/>
    <mergeCell ref="G35:G36"/>
    <mergeCell ref="G43:G44"/>
    <mergeCell ref="G27:G28"/>
    <mergeCell ref="H49:H50"/>
    <mergeCell ref="H41:H42"/>
    <mergeCell ref="E23:E24"/>
    <mergeCell ref="C51:C52"/>
    <mergeCell ref="F27:F28"/>
    <mergeCell ref="H29:H30"/>
    <mergeCell ref="H51:H52"/>
    <mergeCell ref="E51:E52"/>
    <mergeCell ref="D51:D52"/>
    <mergeCell ref="E29:E30"/>
    <mergeCell ref="C27:C28"/>
    <mergeCell ref="G29:G30"/>
    <mergeCell ref="F21:F22"/>
    <mergeCell ref="B21:B22"/>
    <mergeCell ref="E21:E22"/>
    <mergeCell ref="A21:A22"/>
    <mergeCell ref="D33:D34"/>
    <mergeCell ref="C25:C26"/>
    <mergeCell ref="E25:E26"/>
    <mergeCell ref="E27:E28"/>
    <mergeCell ref="F25:F26"/>
    <mergeCell ref="C21:C22"/>
    <mergeCell ref="D21:D22"/>
    <mergeCell ref="D29:D30"/>
    <mergeCell ref="F51:F52"/>
    <mergeCell ref="E31:E32"/>
    <mergeCell ref="F23:F24"/>
    <mergeCell ref="C23:C24"/>
    <mergeCell ref="C31:C32"/>
    <mergeCell ref="D23:D24"/>
    <mergeCell ref="D31:D32"/>
    <mergeCell ref="C29:C30"/>
    <mergeCell ref="D27:D28"/>
    <mergeCell ref="E47:E48"/>
    <mergeCell ref="A1:N1"/>
    <mergeCell ref="A2:N2"/>
    <mergeCell ref="A3:N3"/>
    <mergeCell ref="J6:K6"/>
    <mergeCell ref="I5:K5"/>
    <mergeCell ref="C5:C7"/>
    <mergeCell ref="D5:D7"/>
    <mergeCell ref="F5:F7"/>
    <mergeCell ref="E5:E7"/>
    <mergeCell ref="A5:A7"/>
    <mergeCell ref="A23:A24"/>
    <mergeCell ref="A31:A32"/>
    <mergeCell ref="B31:B32"/>
    <mergeCell ref="B23:B24"/>
    <mergeCell ref="D25:D26"/>
    <mergeCell ref="B5:B7"/>
    <mergeCell ref="B8:B9"/>
    <mergeCell ref="E8:E9"/>
    <mergeCell ref="B51:B52"/>
    <mergeCell ref="A51:A52"/>
    <mergeCell ref="B27:B28"/>
    <mergeCell ref="A29:A30"/>
    <mergeCell ref="B29:B30"/>
    <mergeCell ref="A25:A26"/>
    <mergeCell ref="B25:B26"/>
    <mergeCell ref="A27:A28"/>
    <mergeCell ref="A33:A34"/>
    <mergeCell ref="A35:A36"/>
    <mergeCell ref="H23:H24"/>
    <mergeCell ref="A43:A44"/>
    <mergeCell ref="B43:B44"/>
    <mergeCell ref="A39:A40"/>
    <mergeCell ref="G23:G24"/>
    <mergeCell ref="G33:G34"/>
    <mergeCell ref="G31:G32"/>
    <mergeCell ref="E43:E44"/>
    <mergeCell ref="D43:D44"/>
    <mergeCell ref="F43:F44"/>
    <mergeCell ref="F33:F34"/>
    <mergeCell ref="E33:E34"/>
    <mergeCell ref="F29:F30"/>
    <mergeCell ref="B39:B40"/>
    <mergeCell ref="C43:C44"/>
    <mergeCell ref="D35:D36"/>
    <mergeCell ref="B33:B34"/>
    <mergeCell ref="C33:C34"/>
    <mergeCell ref="B35:B36"/>
    <mergeCell ref="C35:C36"/>
    <mergeCell ref="D37:D38"/>
    <mergeCell ref="A45:A46"/>
    <mergeCell ref="B45:B46"/>
    <mergeCell ref="C45:C46"/>
    <mergeCell ref="D45:D46"/>
    <mergeCell ref="A41:A42"/>
    <mergeCell ref="B41:B42"/>
    <mergeCell ref="G8:G9"/>
    <mergeCell ref="F49:F50"/>
    <mergeCell ref="G49:G50"/>
    <mergeCell ref="A8:A9"/>
    <mergeCell ref="E49:E50"/>
    <mergeCell ref="C41:C42"/>
    <mergeCell ref="D41:D42"/>
    <mergeCell ref="A47:A48"/>
    <mergeCell ref="B47:B48"/>
    <mergeCell ref="C47:C48"/>
    <mergeCell ref="E37:E38"/>
    <mergeCell ref="F8:F9"/>
    <mergeCell ref="A49:A50"/>
    <mergeCell ref="B49:B50"/>
    <mergeCell ref="C49:C50"/>
    <mergeCell ref="D49:D50"/>
    <mergeCell ref="D47:D48"/>
    <mergeCell ref="A37:A38"/>
    <mergeCell ref="B37:B38"/>
    <mergeCell ref="C37:C38"/>
    <mergeCell ref="C8:C9"/>
    <mergeCell ref="D8:D9"/>
    <mergeCell ref="C57:C61"/>
    <mergeCell ref="E41:E42"/>
    <mergeCell ref="C39:C40"/>
    <mergeCell ref="D39:D40"/>
    <mergeCell ref="C55:C56"/>
    <mergeCell ref="E39:E40"/>
    <mergeCell ref="E45:E46"/>
    <mergeCell ref="F31:F32"/>
    <mergeCell ref="F45:F46"/>
    <mergeCell ref="G37:G38"/>
    <mergeCell ref="G39:G40"/>
    <mergeCell ref="F39:F40"/>
    <mergeCell ref="H33:H34"/>
    <mergeCell ref="H43:H44"/>
    <mergeCell ref="H37:H38"/>
    <mergeCell ref="H35:H36"/>
    <mergeCell ref="E35:E36"/>
    <mergeCell ref="G47:G48"/>
    <mergeCell ref="H47:H48"/>
    <mergeCell ref="F47:F48"/>
    <mergeCell ref="G45:G46"/>
    <mergeCell ref="G21:G22"/>
    <mergeCell ref="H21:H22"/>
    <mergeCell ref="H39:H40"/>
    <mergeCell ref="F41:F42"/>
    <mergeCell ref="F37:F38"/>
    <mergeCell ref="F35:F36"/>
    <mergeCell ref="H45:H46"/>
    <mergeCell ref="G41:G42"/>
    <mergeCell ref="H8:H9"/>
  </mergeCells>
  <printOptions/>
  <pageMargins left="0.7874015748031497" right="0.7874015748031497" top="0.6299212598425197" bottom="0.5905511811023623" header="0.5118110236220472" footer="0.3937007874015748"/>
  <pageSetup firstPageNumber="23" useFirstPageNumber="1" fitToHeight="0" fitToWidth="1" horizontalDpi="600" verticalDpi="600" orientation="landscape" paperSize="9" scale="93" r:id="rId1"/>
  <headerFooter alignWithMargins="0"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76"/>
  <sheetViews>
    <sheetView view="pageBreakPreview" zoomScaleSheetLayoutView="100" zoomScalePageLayoutView="0" workbookViewId="0" topLeftCell="A1">
      <selection activeCell="O1" sqref="O1:X16384"/>
    </sheetView>
  </sheetViews>
  <sheetFormatPr defaultColWidth="9.00390625" defaultRowHeight="12.75"/>
  <cols>
    <col min="1" max="1" width="4.25390625" style="0" customWidth="1"/>
    <col min="2" max="2" width="12.875" style="53" customWidth="1"/>
    <col min="3" max="3" width="32.625" style="93" customWidth="1"/>
    <col min="4" max="4" width="9.25390625" style="0" customWidth="1"/>
    <col min="5" max="5" width="9.875" style="0" customWidth="1"/>
    <col min="6" max="6" width="9.75390625" style="0" customWidth="1"/>
    <col min="7" max="7" width="7.125" style="0" customWidth="1"/>
    <col min="8" max="8" width="9.625" style="0" customWidth="1"/>
    <col min="9" max="9" width="6.37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1318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1" t="s">
        <v>1411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11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2.75" thickBot="1">
      <c r="A6" s="1226"/>
      <c r="B6" s="1204"/>
      <c r="C6" s="1212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2.75" thickBot="1">
      <c r="A7" s="1227"/>
      <c r="B7" s="1205"/>
      <c r="C7" s="1213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12" customHeight="1">
      <c r="A8" s="1228">
        <v>1</v>
      </c>
      <c r="B8" s="1510" t="s">
        <v>850</v>
      </c>
      <c r="C8" s="1728" t="s">
        <v>152</v>
      </c>
      <c r="D8" s="1195" t="s">
        <v>509</v>
      </c>
      <c r="E8" s="1189" t="s">
        <v>1455</v>
      </c>
      <c r="F8" s="1197">
        <f>G8+H8</f>
        <v>43.629999999999995</v>
      </c>
      <c r="G8" s="1197">
        <f>G10</f>
        <v>14.77</v>
      </c>
      <c r="H8" s="1197">
        <f>H11</f>
        <v>28.86</v>
      </c>
      <c r="I8" s="502">
        <f>J8+K8</f>
        <v>2</v>
      </c>
      <c r="J8" s="502">
        <v>2</v>
      </c>
      <c r="K8" s="504">
        <v>0</v>
      </c>
      <c r="L8" s="502">
        <f>M8+N8</f>
        <v>46</v>
      </c>
      <c r="M8" s="503">
        <v>41</v>
      </c>
      <c r="N8" s="502">
        <v>5</v>
      </c>
    </row>
    <row r="9" spans="1:14" s="266" customFormat="1" ht="12" customHeight="1">
      <c r="A9" s="1339"/>
      <c r="B9" s="1730"/>
      <c r="C9" s="1729"/>
      <c r="D9" s="1454"/>
      <c r="E9" s="1341"/>
      <c r="F9" s="1345"/>
      <c r="G9" s="1345"/>
      <c r="H9" s="1345"/>
      <c r="I9" s="919">
        <f>J9+K9</f>
        <v>59.25</v>
      </c>
      <c r="J9" s="918">
        <v>59.25</v>
      </c>
      <c r="K9" s="930">
        <v>0</v>
      </c>
      <c r="L9" s="918">
        <f>M9+N9</f>
        <v>589</v>
      </c>
      <c r="M9" s="507">
        <v>528</v>
      </c>
      <c r="N9" s="918">
        <v>61</v>
      </c>
    </row>
    <row r="10" spans="1:14" s="266" customFormat="1" ht="12">
      <c r="A10" s="1339"/>
      <c r="B10" s="1730"/>
      <c r="C10" s="565" t="s">
        <v>4</v>
      </c>
      <c r="D10" s="566" t="s">
        <v>102</v>
      </c>
      <c r="E10" s="927" t="s">
        <v>1456</v>
      </c>
      <c r="F10" s="936">
        <f>G10+H10</f>
        <v>14.77</v>
      </c>
      <c r="G10" s="936">
        <v>14.77</v>
      </c>
      <c r="H10" s="936"/>
      <c r="I10" s="936"/>
      <c r="J10" s="525"/>
      <c r="K10" s="923"/>
      <c r="L10" s="927"/>
      <c r="M10" s="525"/>
      <c r="N10" s="927"/>
    </row>
    <row r="11" spans="1:14" s="266" customFormat="1" ht="12.75" thickBot="1">
      <c r="A11" s="1229"/>
      <c r="B11" s="1511"/>
      <c r="C11" s="567"/>
      <c r="D11" s="970" t="s">
        <v>27</v>
      </c>
      <c r="E11" s="891" t="s">
        <v>1457</v>
      </c>
      <c r="F11" s="895">
        <f>G11+H11</f>
        <v>28.86</v>
      </c>
      <c r="G11" s="895"/>
      <c r="H11" s="895">
        <v>28.86</v>
      </c>
      <c r="I11" s="895"/>
      <c r="J11" s="589"/>
      <c r="K11" s="924"/>
      <c r="L11" s="891"/>
      <c r="M11" s="589"/>
      <c r="N11" s="891"/>
    </row>
    <row r="12" spans="1:14" s="266" customFormat="1" ht="12">
      <c r="A12" s="1167">
        <v>2</v>
      </c>
      <c r="B12" s="1173" t="s">
        <v>963</v>
      </c>
      <c r="C12" s="1182" t="s">
        <v>504</v>
      </c>
      <c r="D12" s="1180" t="s">
        <v>27</v>
      </c>
      <c r="E12" s="1180" t="s">
        <v>592</v>
      </c>
      <c r="F12" s="1169">
        <f>G12+H12</f>
        <v>33.489000000000004</v>
      </c>
      <c r="G12" s="1178">
        <v>30.3</v>
      </c>
      <c r="H12" s="1184">
        <v>3.189</v>
      </c>
      <c r="I12" s="644">
        <f aca="true" t="shared" si="0" ref="I12:I39">J12+K12</f>
        <v>3</v>
      </c>
      <c r="J12" s="645">
        <v>3</v>
      </c>
      <c r="K12" s="648">
        <v>0</v>
      </c>
      <c r="L12" s="644">
        <f aca="true" t="shared" si="1" ref="L12:L39">M12+N12</f>
        <v>22</v>
      </c>
      <c r="M12" s="645">
        <v>22</v>
      </c>
      <c r="N12" s="644">
        <v>0</v>
      </c>
    </row>
    <row r="13" spans="1:14" s="266" customFormat="1" ht="12.75" thickBot="1">
      <c r="A13" s="1168"/>
      <c r="B13" s="1170"/>
      <c r="C13" s="1183"/>
      <c r="D13" s="1181"/>
      <c r="E13" s="1181"/>
      <c r="F13" s="1170"/>
      <c r="G13" s="1179"/>
      <c r="H13" s="1185"/>
      <c r="I13" s="885">
        <f t="shared" si="0"/>
        <v>67.2</v>
      </c>
      <c r="J13" s="650">
        <v>67.2</v>
      </c>
      <c r="K13" s="611">
        <v>0</v>
      </c>
      <c r="L13" s="883">
        <f t="shared" si="1"/>
        <v>376</v>
      </c>
      <c r="M13" s="990">
        <v>376</v>
      </c>
      <c r="N13" s="883">
        <v>0</v>
      </c>
    </row>
    <row r="14" spans="1:14" s="266" customFormat="1" ht="12">
      <c r="A14" s="1167">
        <v>3</v>
      </c>
      <c r="B14" s="1173" t="s">
        <v>964</v>
      </c>
      <c r="C14" s="1182" t="s">
        <v>443</v>
      </c>
      <c r="D14" s="1180" t="s">
        <v>27</v>
      </c>
      <c r="E14" s="1180" t="s">
        <v>1371</v>
      </c>
      <c r="F14" s="1169">
        <f>G14+H14</f>
        <v>13.438</v>
      </c>
      <c r="G14" s="1178">
        <v>1</v>
      </c>
      <c r="H14" s="1184">
        <v>12.438</v>
      </c>
      <c r="I14" s="644">
        <f t="shared" si="0"/>
        <v>1</v>
      </c>
      <c r="J14" s="648">
        <v>1</v>
      </c>
      <c r="K14" s="646">
        <v>0</v>
      </c>
      <c r="L14" s="644">
        <f t="shared" si="1"/>
        <v>13</v>
      </c>
      <c r="M14" s="648">
        <v>13</v>
      </c>
      <c r="N14" s="644">
        <v>0</v>
      </c>
    </row>
    <row r="15" spans="1:14" s="266" customFormat="1" ht="12.75" thickBot="1">
      <c r="A15" s="1168"/>
      <c r="B15" s="1170"/>
      <c r="C15" s="1183"/>
      <c r="D15" s="1181"/>
      <c r="E15" s="1181"/>
      <c r="F15" s="1170"/>
      <c r="G15" s="1179"/>
      <c r="H15" s="1185"/>
      <c r="I15" s="883">
        <f t="shared" si="0"/>
        <v>6</v>
      </c>
      <c r="J15" s="611">
        <v>6</v>
      </c>
      <c r="K15" s="915">
        <v>0</v>
      </c>
      <c r="L15" s="883">
        <f t="shared" si="1"/>
        <v>192</v>
      </c>
      <c r="M15" s="611">
        <v>192</v>
      </c>
      <c r="N15" s="883">
        <v>0</v>
      </c>
    </row>
    <row r="16" spans="1:14" s="266" customFormat="1" ht="12">
      <c r="A16" s="1167">
        <v>4</v>
      </c>
      <c r="B16" s="1173" t="s">
        <v>965</v>
      </c>
      <c r="C16" s="1182" t="s">
        <v>500</v>
      </c>
      <c r="D16" s="1180" t="s">
        <v>27</v>
      </c>
      <c r="E16" s="1169" t="s">
        <v>598</v>
      </c>
      <c r="F16" s="1169">
        <f>G16+H16</f>
        <v>4.915</v>
      </c>
      <c r="G16" s="1178">
        <v>0</v>
      </c>
      <c r="H16" s="1184">
        <v>4.915</v>
      </c>
      <c r="I16" s="644">
        <f t="shared" si="0"/>
        <v>1</v>
      </c>
      <c r="J16" s="645">
        <v>1</v>
      </c>
      <c r="K16" s="646">
        <v>0</v>
      </c>
      <c r="L16" s="644">
        <f t="shared" si="1"/>
        <v>1</v>
      </c>
      <c r="M16" s="645">
        <v>1</v>
      </c>
      <c r="N16" s="644">
        <v>0</v>
      </c>
    </row>
    <row r="17" spans="1:14" s="266" customFormat="1" ht="12.75" thickBot="1">
      <c r="A17" s="1168"/>
      <c r="B17" s="1170"/>
      <c r="C17" s="1183"/>
      <c r="D17" s="1181"/>
      <c r="E17" s="1170"/>
      <c r="F17" s="1170"/>
      <c r="G17" s="1179"/>
      <c r="H17" s="1185"/>
      <c r="I17" s="885">
        <f t="shared" si="0"/>
        <v>95.1</v>
      </c>
      <c r="J17" s="990">
        <v>95.1</v>
      </c>
      <c r="K17" s="915">
        <v>0</v>
      </c>
      <c r="L17" s="883">
        <f t="shared" si="1"/>
        <v>15</v>
      </c>
      <c r="M17" s="990">
        <v>15</v>
      </c>
      <c r="N17" s="883">
        <v>0</v>
      </c>
    </row>
    <row r="18" spans="1:14" s="266" customFormat="1" ht="12">
      <c r="A18" s="1167">
        <v>5</v>
      </c>
      <c r="B18" s="1173" t="s">
        <v>966</v>
      </c>
      <c r="C18" s="1182" t="s">
        <v>416</v>
      </c>
      <c r="D18" s="1180" t="s">
        <v>27</v>
      </c>
      <c r="E18" s="1169" t="s">
        <v>614</v>
      </c>
      <c r="F18" s="1169">
        <f>G18+H18</f>
        <v>12.426</v>
      </c>
      <c r="G18" s="1178">
        <v>1</v>
      </c>
      <c r="H18" s="1184">
        <v>11.426</v>
      </c>
      <c r="I18" s="644">
        <f t="shared" si="0"/>
        <v>1</v>
      </c>
      <c r="J18" s="648">
        <v>1</v>
      </c>
      <c r="K18" s="646">
        <v>0</v>
      </c>
      <c r="L18" s="644">
        <f t="shared" si="1"/>
        <v>16</v>
      </c>
      <c r="M18" s="648">
        <v>15</v>
      </c>
      <c r="N18" s="644">
        <v>1</v>
      </c>
    </row>
    <row r="19" spans="1:14" s="266" customFormat="1" ht="12.75" thickBot="1">
      <c r="A19" s="1168"/>
      <c r="B19" s="1170"/>
      <c r="C19" s="1183"/>
      <c r="D19" s="1181"/>
      <c r="E19" s="1170"/>
      <c r="F19" s="1170"/>
      <c r="G19" s="1179"/>
      <c r="H19" s="1185"/>
      <c r="I19" s="885">
        <f t="shared" si="0"/>
        <v>77.35</v>
      </c>
      <c r="J19" s="651">
        <v>77.35</v>
      </c>
      <c r="K19" s="915">
        <v>0</v>
      </c>
      <c r="L19" s="883">
        <f t="shared" si="1"/>
        <v>212</v>
      </c>
      <c r="M19" s="611">
        <v>200</v>
      </c>
      <c r="N19" s="883">
        <v>12</v>
      </c>
    </row>
    <row r="20" spans="1:14" s="266" customFormat="1" ht="12">
      <c r="A20" s="1167">
        <v>6</v>
      </c>
      <c r="B20" s="1173" t="s">
        <v>969</v>
      </c>
      <c r="C20" s="1182" t="s">
        <v>501</v>
      </c>
      <c r="D20" s="1180" t="s">
        <v>27</v>
      </c>
      <c r="E20" s="1169" t="s">
        <v>417</v>
      </c>
      <c r="F20" s="1169">
        <f>G20+H20</f>
        <v>8.4</v>
      </c>
      <c r="G20" s="1178">
        <v>0</v>
      </c>
      <c r="H20" s="1178">
        <v>8.4</v>
      </c>
      <c r="I20" s="644">
        <f t="shared" si="0"/>
        <v>0</v>
      </c>
      <c r="J20" s="645">
        <v>0</v>
      </c>
      <c r="K20" s="646">
        <v>0</v>
      </c>
      <c r="L20" s="644">
        <f t="shared" si="1"/>
        <v>3</v>
      </c>
      <c r="M20" s="645">
        <v>3</v>
      </c>
      <c r="N20" s="644">
        <v>0</v>
      </c>
    </row>
    <row r="21" spans="1:14" s="266" customFormat="1" ht="12.75" thickBot="1">
      <c r="A21" s="1168"/>
      <c r="B21" s="1170"/>
      <c r="C21" s="1183"/>
      <c r="D21" s="1181"/>
      <c r="E21" s="1170"/>
      <c r="F21" s="1170"/>
      <c r="G21" s="1179"/>
      <c r="H21" s="1179"/>
      <c r="I21" s="883">
        <f t="shared" si="0"/>
        <v>0</v>
      </c>
      <c r="J21" s="990">
        <v>0</v>
      </c>
      <c r="K21" s="915">
        <v>0</v>
      </c>
      <c r="L21" s="883">
        <f t="shared" si="1"/>
        <v>34</v>
      </c>
      <c r="M21" s="990">
        <v>34</v>
      </c>
      <c r="N21" s="883">
        <v>0</v>
      </c>
    </row>
    <row r="22" spans="1:14" s="266" customFormat="1" ht="12">
      <c r="A22" s="1167">
        <v>7</v>
      </c>
      <c r="B22" s="1173" t="s">
        <v>975</v>
      </c>
      <c r="C22" s="1726" t="s">
        <v>502</v>
      </c>
      <c r="D22" s="1180" t="s">
        <v>27</v>
      </c>
      <c r="E22" s="1169" t="s">
        <v>572</v>
      </c>
      <c r="F22" s="1184">
        <f>G22+H22</f>
        <v>7.45</v>
      </c>
      <c r="G22" s="1184">
        <v>0.215</v>
      </c>
      <c r="H22" s="1184">
        <v>7.235</v>
      </c>
      <c r="I22" s="644">
        <f t="shared" si="0"/>
        <v>0</v>
      </c>
      <c r="J22" s="645">
        <v>0</v>
      </c>
      <c r="K22" s="646">
        <v>0</v>
      </c>
      <c r="L22" s="644">
        <f t="shared" si="1"/>
        <v>5</v>
      </c>
      <c r="M22" s="645">
        <v>3</v>
      </c>
      <c r="N22" s="644">
        <v>2</v>
      </c>
    </row>
    <row r="23" spans="1:14" s="266" customFormat="1" ht="13.5" customHeight="1" thickBot="1">
      <c r="A23" s="1168"/>
      <c r="B23" s="1170"/>
      <c r="C23" s="1727"/>
      <c r="D23" s="1181"/>
      <c r="E23" s="1170"/>
      <c r="F23" s="1185"/>
      <c r="G23" s="1185"/>
      <c r="H23" s="1185"/>
      <c r="I23" s="883">
        <f t="shared" si="0"/>
        <v>0</v>
      </c>
      <c r="J23" s="990">
        <v>0</v>
      </c>
      <c r="K23" s="915">
        <v>0</v>
      </c>
      <c r="L23" s="883">
        <f t="shared" si="1"/>
        <v>61</v>
      </c>
      <c r="M23" s="990">
        <v>39</v>
      </c>
      <c r="N23" s="883">
        <v>22</v>
      </c>
    </row>
    <row r="24" spans="1:14" s="266" customFormat="1" ht="12">
      <c r="A24" s="1167">
        <v>8</v>
      </c>
      <c r="B24" s="1169" t="s">
        <v>978</v>
      </c>
      <c r="C24" s="1182" t="s">
        <v>512</v>
      </c>
      <c r="D24" s="1180" t="s">
        <v>27</v>
      </c>
      <c r="E24" s="1169" t="s">
        <v>1442</v>
      </c>
      <c r="F24" s="1169">
        <f>G24+H24</f>
        <v>2.755</v>
      </c>
      <c r="G24" s="1178">
        <v>0</v>
      </c>
      <c r="H24" s="1184">
        <v>2.755</v>
      </c>
      <c r="I24" s="644">
        <f t="shared" si="0"/>
        <v>0</v>
      </c>
      <c r="J24" s="645">
        <v>0</v>
      </c>
      <c r="K24" s="646">
        <v>0</v>
      </c>
      <c r="L24" s="644">
        <f t="shared" si="1"/>
        <v>1</v>
      </c>
      <c r="M24" s="645">
        <v>1</v>
      </c>
      <c r="N24" s="644">
        <v>0</v>
      </c>
    </row>
    <row r="25" spans="1:14" s="266" customFormat="1" ht="12.75" thickBot="1">
      <c r="A25" s="1168"/>
      <c r="B25" s="1170"/>
      <c r="C25" s="1183"/>
      <c r="D25" s="1181"/>
      <c r="E25" s="1170"/>
      <c r="F25" s="1170"/>
      <c r="G25" s="1179"/>
      <c r="H25" s="1185"/>
      <c r="I25" s="883">
        <f t="shared" si="0"/>
        <v>0</v>
      </c>
      <c r="J25" s="990">
        <v>0</v>
      </c>
      <c r="K25" s="915">
        <v>0</v>
      </c>
      <c r="L25" s="883">
        <f t="shared" si="1"/>
        <v>9</v>
      </c>
      <c r="M25" s="990">
        <v>9</v>
      </c>
      <c r="N25" s="883">
        <v>0</v>
      </c>
    </row>
    <row r="26" spans="1:14" s="266" customFormat="1" ht="12">
      <c r="A26" s="1167">
        <v>9</v>
      </c>
      <c r="B26" s="1169" t="s">
        <v>979</v>
      </c>
      <c r="C26" s="1182" t="s">
        <v>513</v>
      </c>
      <c r="D26" s="1180" t="s">
        <v>49</v>
      </c>
      <c r="E26" s="1169" t="s">
        <v>1440</v>
      </c>
      <c r="F26" s="1169">
        <f>G26+H26</f>
        <v>5.981999999999999</v>
      </c>
      <c r="G26" s="1184">
        <v>2.3</v>
      </c>
      <c r="H26" s="1184">
        <v>3.682</v>
      </c>
      <c r="I26" s="644">
        <f t="shared" si="0"/>
        <v>1</v>
      </c>
      <c r="J26" s="645">
        <v>1</v>
      </c>
      <c r="K26" s="646">
        <v>0</v>
      </c>
      <c r="L26" s="644">
        <f t="shared" si="1"/>
        <v>4</v>
      </c>
      <c r="M26" s="645">
        <v>3</v>
      </c>
      <c r="N26" s="644">
        <v>1</v>
      </c>
    </row>
    <row r="27" spans="1:14" s="266" customFormat="1" ht="12.75" thickBot="1">
      <c r="A27" s="1168"/>
      <c r="B27" s="1170"/>
      <c r="C27" s="1183"/>
      <c r="D27" s="1181"/>
      <c r="E27" s="1170"/>
      <c r="F27" s="1170"/>
      <c r="G27" s="1185"/>
      <c r="H27" s="1185"/>
      <c r="I27" s="885">
        <f t="shared" si="0"/>
        <v>53.05</v>
      </c>
      <c r="J27" s="990">
        <v>53.05</v>
      </c>
      <c r="K27" s="915">
        <v>0</v>
      </c>
      <c r="L27" s="883">
        <f t="shared" si="1"/>
        <v>43</v>
      </c>
      <c r="M27" s="990">
        <v>34</v>
      </c>
      <c r="N27" s="883">
        <v>9</v>
      </c>
    </row>
    <row r="28" spans="1:14" s="266" customFormat="1" ht="12">
      <c r="A28" s="1167">
        <v>10</v>
      </c>
      <c r="B28" s="1169" t="s">
        <v>980</v>
      </c>
      <c r="C28" s="1182" t="s">
        <v>516</v>
      </c>
      <c r="D28" s="1180" t="s">
        <v>27</v>
      </c>
      <c r="E28" s="1356" t="s">
        <v>1439</v>
      </c>
      <c r="F28" s="1169">
        <f>G28+H28</f>
        <v>6.094</v>
      </c>
      <c r="G28" s="1178">
        <v>0</v>
      </c>
      <c r="H28" s="1362">
        <v>6.094</v>
      </c>
      <c r="I28" s="644">
        <f t="shared" si="0"/>
        <v>0</v>
      </c>
      <c r="J28" s="645">
        <v>0</v>
      </c>
      <c r="K28" s="646">
        <v>0</v>
      </c>
      <c r="L28" s="644">
        <f t="shared" si="1"/>
        <v>2</v>
      </c>
      <c r="M28" s="645">
        <v>2</v>
      </c>
      <c r="N28" s="644">
        <v>0</v>
      </c>
    </row>
    <row r="29" spans="1:14" s="266" customFormat="1" ht="12.75" thickBot="1">
      <c r="A29" s="1168"/>
      <c r="B29" s="1170"/>
      <c r="C29" s="1183"/>
      <c r="D29" s="1181"/>
      <c r="E29" s="1357"/>
      <c r="F29" s="1170"/>
      <c r="G29" s="1179"/>
      <c r="H29" s="1363"/>
      <c r="I29" s="883">
        <f t="shared" si="0"/>
        <v>0</v>
      </c>
      <c r="J29" s="990">
        <v>0</v>
      </c>
      <c r="K29" s="915">
        <v>0</v>
      </c>
      <c r="L29" s="883">
        <f t="shared" si="1"/>
        <v>25</v>
      </c>
      <c r="M29" s="990">
        <v>25</v>
      </c>
      <c r="N29" s="883">
        <v>0</v>
      </c>
    </row>
    <row r="30" spans="1:14" s="266" customFormat="1" ht="12">
      <c r="A30" s="1167">
        <v>11</v>
      </c>
      <c r="B30" s="1169" t="s">
        <v>981</v>
      </c>
      <c r="C30" s="1182" t="s">
        <v>514</v>
      </c>
      <c r="D30" s="1180" t="s">
        <v>27</v>
      </c>
      <c r="E30" s="1173" t="s">
        <v>613</v>
      </c>
      <c r="F30" s="1169">
        <f>G30+H30</f>
        <v>0.843</v>
      </c>
      <c r="G30" s="1184">
        <v>0.843</v>
      </c>
      <c r="H30" s="1178">
        <v>0</v>
      </c>
      <c r="I30" s="644">
        <f t="shared" si="0"/>
        <v>0</v>
      </c>
      <c r="J30" s="645">
        <v>0</v>
      </c>
      <c r="K30" s="646">
        <v>0</v>
      </c>
      <c r="L30" s="644">
        <f t="shared" si="1"/>
        <v>0</v>
      </c>
      <c r="M30" s="645">
        <v>0</v>
      </c>
      <c r="N30" s="644">
        <v>0</v>
      </c>
    </row>
    <row r="31" spans="1:14" s="266" customFormat="1" ht="12.75" thickBot="1">
      <c r="A31" s="1168"/>
      <c r="B31" s="1170"/>
      <c r="C31" s="1183"/>
      <c r="D31" s="1181"/>
      <c r="E31" s="1174"/>
      <c r="F31" s="1170"/>
      <c r="G31" s="1185"/>
      <c r="H31" s="1179"/>
      <c r="I31" s="883">
        <f t="shared" si="0"/>
        <v>0</v>
      </c>
      <c r="J31" s="990">
        <v>0</v>
      </c>
      <c r="K31" s="915">
        <v>0</v>
      </c>
      <c r="L31" s="883">
        <f t="shared" si="1"/>
        <v>0</v>
      </c>
      <c r="M31" s="990">
        <v>0</v>
      </c>
      <c r="N31" s="883">
        <v>0</v>
      </c>
    </row>
    <row r="32" spans="1:14" s="266" customFormat="1" ht="12">
      <c r="A32" s="1167">
        <v>12</v>
      </c>
      <c r="B32" s="1169" t="s">
        <v>982</v>
      </c>
      <c r="C32" s="1182" t="s">
        <v>518</v>
      </c>
      <c r="D32" s="1180" t="s">
        <v>27</v>
      </c>
      <c r="E32" s="1180" t="s">
        <v>664</v>
      </c>
      <c r="F32" s="1169">
        <f>G32+H32</f>
        <v>7.942</v>
      </c>
      <c r="G32" s="1178">
        <v>0</v>
      </c>
      <c r="H32" s="1362">
        <v>7.942</v>
      </c>
      <c r="I32" s="644">
        <f t="shared" si="0"/>
        <v>0</v>
      </c>
      <c r="J32" s="645">
        <v>0</v>
      </c>
      <c r="K32" s="646">
        <v>0</v>
      </c>
      <c r="L32" s="644">
        <f t="shared" si="1"/>
        <v>2</v>
      </c>
      <c r="M32" s="645">
        <v>2</v>
      </c>
      <c r="N32" s="644">
        <v>0</v>
      </c>
    </row>
    <row r="33" spans="1:14" s="266" customFormat="1" ht="12.75" thickBot="1">
      <c r="A33" s="1168"/>
      <c r="B33" s="1170"/>
      <c r="C33" s="1183"/>
      <c r="D33" s="1181"/>
      <c r="E33" s="1181"/>
      <c r="F33" s="1170"/>
      <c r="G33" s="1179"/>
      <c r="H33" s="1363"/>
      <c r="I33" s="883">
        <f t="shared" si="0"/>
        <v>0</v>
      </c>
      <c r="J33" s="990">
        <v>0</v>
      </c>
      <c r="K33" s="915">
        <v>0</v>
      </c>
      <c r="L33" s="883">
        <f t="shared" si="1"/>
        <v>29</v>
      </c>
      <c r="M33" s="990">
        <v>29</v>
      </c>
      <c r="N33" s="883">
        <v>0</v>
      </c>
    </row>
    <row r="34" spans="1:14" s="266" customFormat="1" ht="12">
      <c r="A34" s="1167">
        <v>13</v>
      </c>
      <c r="B34" s="1169" t="s">
        <v>983</v>
      </c>
      <c r="C34" s="1182" t="s">
        <v>515</v>
      </c>
      <c r="D34" s="1180" t="s">
        <v>49</v>
      </c>
      <c r="E34" s="1356" t="s">
        <v>612</v>
      </c>
      <c r="F34" s="1169">
        <f>G34+H34</f>
        <v>0.83</v>
      </c>
      <c r="G34" s="1178">
        <v>0.83</v>
      </c>
      <c r="H34" s="1591">
        <v>0</v>
      </c>
      <c r="I34" s="644">
        <f t="shared" si="0"/>
        <v>0</v>
      </c>
      <c r="J34" s="645">
        <v>0</v>
      </c>
      <c r="K34" s="646">
        <v>0</v>
      </c>
      <c r="L34" s="644">
        <f t="shared" si="1"/>
        <v>0</v>
      </c>
      <c r="M34" s="645">
        <v>0</v>
      </c>
      <c r="N34" s="644">
        <v>0</v>
      </c>
    </row>
    <row r="35" spans="1:14" s="266" customFormat="1" ht="12.75" thickBot="1">
      <c r="A35" s="1168"/>
      <c r="B35" s="1170"/>
      <c r="C35" s="1183"/>
      <c r="D35" s="1181"/>
      <c r="E35" s="1357"/>
      <c r="F35" s="1170"/>
      <c r="G35" s="1179"/>
      <c r="H35" s="1592"/>
      <c r="I35" s="883">
        <f t="shared" si="0"/>
        <v>0</v>
      </c>
      <c r="J35" s="990">
        <v>0</v>
      </c>
      <c r="K35" s="915">
        <v>0</v>
      </c>
      <c r="L35" s="883">
        <f t="shared" si="1"/>
        <v>0</v>
      </c>
      <c r="M35" s="990">
        <v>0</v>
      </c>
      <c r="N35" s="883">
        <v>0</v>
      </c>
    </row>
    <row r="36" spans="1:14" s="1" customFormat="1" ht="12">
      <c r="A36" s="1724">
        <v>14</v>
      </c>
      <c r="B36" s="1721" t="s">
        <v>984</v>
      </c>
      <c r="C36" s="1719" t="s">
        <v>503</v>
      </c>
      <c r="D36" s="1717" t="s">
        <v>27</v>
      </c>
      <c r="E36" s="1173" t="s">
        <v>1385</v>
      </c>
      <c r="F36" s="1169">
        <f>G36+H36</f>
        <v>1.832</v>
      </c>
      <c r="G36" s="1184">
        <v>1.832</v>
      </c>
      <c r="H36" s="1178">
        <v>0</v>
      </c>
      <c r="I36" s="644">
        <f t="shared" si="0"/>
        <v>0</v>
      </c>
      <c r="J36" s="645">
        <v>0</v>
      </c>
      <c r="K36" s="646">
        <v>0</v>
      </c>
      <c r="L36" s="644">
        <f t="shared" si="1"/>
        <v>1</v>
      </c>
      <c r="M36" s="645">
        <v>1</v>
      </c>
      <c r="N36" s="644">
        <v>0</v>
      </c>
    </row>
    <row r="37" spans="1:14" s="1" customFormat="1" ht="12.75" thickBot="1">
      <c r="A37" s="1725"/>
      <c r="B37" s="1550"/>
      <c r="C37" s="1720"/>
      <c r="D37" s="1718"/>
      <c r="E37" s="1170"/>
      <c r="F37" s="1170"/>
      <c r="G37" s="1185"/>
      <c r="H37" s="1179"/>
      <c r="I37" s="883">
        <f t="shared" si="0"/>
        <v>0</v>
      </c>
      <c r="J37" s="990">
        <v>0</v>
      </c>
      <c r="K37" s="915">
        <v>0</v>
      </c>
      <c r="L37" s="883">
        <f t="shared" si="1"/>
        <v>12</v>
      </c>
      <c r="M37" s="990">
        <v>12</v>
      </c>
      <c r="N37" s="883">
        <v>0</v>
      </c>
    </row>
    <row r="38" spans="1:14" s="266" customFormat="1" ht="12">
      <c r="A38" s="1167">
        <v>15</v>
      </c>
      <c r="B38" s="1169" t="s">
        <v>985</v>
      </c>
      <c r="C38" s="1182" t="s">
        <v>517</v>
      </c>
      <c r="D38" s="1180" t="s">
        <v>27</v>
      </c>
      <c r="E38" s="1180" t="s">
        <v>1443</v>
      </c>
      <c r="F38" s="1169">
        <f>G38+H38</f>
        <v>2.939</v>
      </c>
      <c r="G38" s="1178">
        <v>0</v>
      </c>
      <c r="H38" s="1362">
        <v>2.939</v>
      </c>
      <c r="I38" s="644">
        <f t="shared" si="0"/>
        <v>0</v>
      </c>
      <c r="J38" s="645">
        <v>0</v>
      </c>
      <c r="K38" s="646">
        <v>0</v>
      </c>
      <c r="L38" s="644">
        <f t="shared" si="1"/>
        <v>4</v>
      </c>
      <c r="M38" s="645">
        <v>1</v>
      </c>
      <c r="N38" s="644">
        <v>3</v>
      </c>
    </row>
    <row r="39" spans="1:14" s="266" customFormat="1" ht="12.75" thickBot="1">
      <c r="A39" s="1168"/>
      <c r="B39" s="1170"/>
      <c r="C39" s="1183"/>
      <c r="D39" s="1181"/>
      <c r="E39" s="1181"/>
      <c r="F39" s="1170"/>
      <c r="G39" s="1179"/>
      <c r="H39" s="1363"/>
      <c r="I39" s="883">
        <f t="shared" si="0"/>
        <v>0</v>
      </c>
      <c r="J39" s="990">
        <v>0</v>
      </c>
      <c r="K39" s="915">
        <v>0</v>
      </c>
      <c r="L39" s="883">
        <f t="shared" si="1"/>
        <v>43</v>
      </c>
      <c r="M39" s="990">
        <v>11</v>
      </c>
      <c r="N39" s="883">
        <v>32</v>
      </c>
    </row>
    <row r="40" spans="1:14" s="1" customFormat="1" ht="12">
      <c r="A40" s="1724">
        <v>16</v>
      </c>
      <c r="B40" s="1721" t="s">
        <v>986</v>
      </c>
      <c r="C40" s="1719" t="s">
        <v>415</v>
      </c>
      <c r="D40" s="1717" t="s">
        <v>27</v>
      </c>
      <c r="E40" s="1676" t="s">
        <v>1386</v>
      </c>
      <c r="F40" s="1169">
        <f>G40+H40</f>
        <v>16.065</v>
      </c>
      <c r="G40" s="1178">
        <v>0</v>
      </c>
      <c r="H40" s="1184">
        <v>16.065</v>
      </c>
      <c r="I40" s="644">
        <f aca="true" t="shared" si="2" ref="I40:I49">J40+K40</f>
        <v>0</v>
      </c>
      <c r="J40" s="645">
        <v>0</v>
      </c>
      <c r="K40" s="648">
        <v>0</v>
      </c>
      <c r="L40" s="644">
        <f aca="true" t="shared" si="3" ref="L40:L49">M40+N40</f>
        <v>21</v>
      </c>
      <c r="M40" s="645">
        <v>16</v>
      </c>
      <c r="N40" s="644">
        <v>5</v>
      </c>
    </row>
    <row r="41" spans="1:14" s="1" customFormat="1" ht="12.75" thickBot="1">
      <c r="A41" s="1725"/>
      <c r="B41" s="1550"/>
      <c r="C41" s="1720"/>
      <c r="D41" s="1718"/>
      <c r="E41" s="1677"/>
      <c r="F41" s="1170"/>
      <c r="G41" s="1179"/>
      <c r="H41" s="1185"/>
      <c r="I41" s="883">
        <f t="shared" si="2"/>
        <v>0</v>
      </c>
      <c r="J41" s="990">
        <v>0</v>
      </c>
      <c r="K41" s="611">
        <v>0</v>
      </c>
      <c r="L41" s="883">
        <f t="shared" si="3"/>
        <v>267</v>
      </c>
      <c r="M41" s="990">
        <v>202</v>
      </c>
      <c r="N41" s="883">
        <v>65</v>
      </c>
    </row>
    <row r="42" spans="1:14" s="1" customFormat="1" ht="12">
      <c r="A42" s="1724">
        <v>17</v>
      </c>
      <c r="B42" s="1721" t="s">
        <v>987</v>
      </c>
      <c r="C42" s="1719" t="s">
        <v>505</v>
      </c>
      <c r="D42" s="1717" t="s">
        <v>27</v>
      </c>
      <c r="E42" s="1173" t="s">
        <v>1387</v>
      </c>
      <c r="F42" s="1169">
        <f>G42+H42</f>
        <v>4.707</v>
      </c>
      <c r="G42" s="1178">
        <v>1.9</v>
      </c>
      <c r="H42" s="1184">
        <v>2.807</v>
      </c>
      <c r="I42" s="756">
        <f t="shared" si="2"/>
        <v>1</v>
      </c>
      <c r="J42" s="757">
        <v>1</v>
      </c>
      <c r="K42" s="758">
        <v>0</v>
      </c>
      <c r="L42" s="756">
        <f t="shared" si="3"/>
        <v>12</v>
      </c>
      <c r="M42" s="757">
        <v>4</v>
      </c>
      <c r="N42" s="756">
        <v>8</v>
      </c>
    </row>
    <row r="43" spans="1:14" s="1" customFormat="1" ht="12.75" thickBot="1">
      <c r="A43" s="1725"/>
      <c r="B43" s="1550"/>
      <c r="C43" s="1720"/>
      <c r="D43" s="1718"/>
      <c r="E43" s="1174"/>
      <c r="F43" s="1170"/>
      <c r="G43" s="1179"/>
      <c r="H43" s="1185"/>
      <c r="I43" s="759">
        <f t="shared" si="2"/>
        <v>90.7</v>
      </c>
      <c r="J43" s="760">
        <v>90.7</v>
      </c>
      <c r="K43" s="761">
        <v>0</v>
      </c>
      <c r="L43" s="637">
        <f t="shared" si="3"/>
        <v>105</v>
      </c>
      <c r="M43" s="762">
        <v>55</v>
      </c>
      <c r="N43" s="637">
        <v>50</v>
      </c>
    </row>
    <row r="44" spans="1:14" s="266" customFormat="1" ht="12">
      <c r="A44" s="1167">
        <v>18</v>
      </c>
      <c r="B44" s="1169" t="s">
        <v>988</v>
      </c>
      <c r="C44" s="1182" t="s">
        <v>527</v>
      </c>
      <c r="D44" s="1180" t="s">
        <v>49</v>
      </c>
      <c r="E44" s="1173" t="s">
        <v>1441</v>
      </c>
      <c r="F44" s="1169">
        <f>G44+H44</f>
        <v>0.807</v>
      </c>
      <c r="G44" s="1178">
        <v>0</v>
      </c>
      <c r="H44" s="1362">
        <v>0.807</v>
      </c>
      <c r="I44" s="644">
        <f t="shared" si="2"/>
        <v>0</v>
      </c>
      <c r="J44" s="645">
        <v>0</v>
      </c>
      <c r="K44" s="646">
        <v>0</v>
      </c>
      <c r="L44" s="644">
        <f t="shared" si="3"/>
        <v>0</v>
      </c>
      <c r="M44" s="645">
        <v>0</v>
      </c>
      <c r="N44" s="644">
        <v>0</v>
      </c>
    </row>
    <row r="45" spans="1:14" s="266" customFormat="1" ht="12.75" thickBot="1">
      <c r="A45" s="1168"/>
      <c r="B45" s="1170"/>
      <c r="C45" s="1183"/>
      <c r="D45" s="1181"/>
      <c r="E45" s="1174"/>
      <c r="F45" s="1170"/>
      <c r="G45" s="1179"/>
      <c r="H45" s="1363"/>
      <c r="I45" s="883">
        <f t="shared" si="2"/>
        <v>0</v>
      </c>
      <c r="J45" s="990">
        <v>0</v>
      </c>
      <c r="K45" s="915">
        <v>0</v>
      </c>
      <c r="L45" s="883">
        <f t="shared" si="3"/>
        <v>0</v>
      </c>
      <c r="M45" s="990">
        <v>0</v>
      </c>
      <c r="N45" s="883">
        <v>0</v>
      </c>
    </row>
    <row r="46" spans="1:14" s="1" customFormat="1" ht="12.75" hidden="1" thickBot="1">
      <c r="A46" s="1581"/>
      <c r="B46" s="1581"/>
      <c r="C46" s="1722"/>
      <c r="D46" s="1658"/>
      <c r="E46" s="1577"/>
      <c r="F46" s="1581"/>
      <c r="G46" s="1590"/>
      <c r="H46" s="1723"/>
      <c r="I46" s="83"/>
      <c r="J46" s="84"/>
      <c r="K46" s="85"/>
      <c r="L46" s="83"/>
      <c r="M46" s="84"/>
      <c r="N46" s="83"/>
    </row>
    <row r="47" spans="1:14" s="1" customFormat="1" ht="17.25" customHeight="1" hidden="1">
      <c r="A47" s="1581"/>
      <c r="B47" s="1581"/>
      <c r="C47" s="1722"/>
      <c r="D47" s="1658"/>
      <c r="E47" s="1577"/>
      <c r="F47" s="1581"/>
      <c r="G47" s="1590"/>
      <c r="H47" s="1723"/>
      <c r="I47" s="720"/>
      <c r="J47" s="1027"/>
      <c r="K47" s="1028"/>
      <c r="L47" s="720"/>
      <c r="M47" s="1027"/>
      <c r="N47" s="720"/>
    </row>
    <row r="48" spans="1:14" s="1" customFormat="1" ht="13.5" customHeight="1">
      <c r="A48" s="1066"/>
      <c r="B48" s="1067"/>
      <c r="C48" s="369" t="s">
        <v>229</v>
      </c>
      <c r="D48" s="985"/>
      <c r="E48" s="1065"/>
      <c r="F48" s="351">
        <f>F40+F42+F36+F12+F14+F16+F18+F20+F22+F8+F24+F26+F30+F34+F28+F38+F44+F32+F46</f>
        <v>174.544</v>
      </c>
      <c r="G48" s="349">
        <f>G8+G12+G14+G16+G18+G20+G22+G24+G26+G28+G30+G32+G34+G36+G38+G40+G42+G44</f>
        <v>54.989999999999995</v>
      </c>
      <c r="H48" s="349">
        <f>H8+H12+H14+H16+H18+H20+H22+H24+H26+H28+H30+H32+H34+H36+H38+H40+H42+H44</f>
        <v>119.554</v>
      </c>
      <c r="I48" s="370">
        <f t="shared" si="2"/>
        <v>10</v>
      </c>
      <c r="J48" s="371">
        <f>J40+J42+J36+J12+J14+J16+J18+J20+J22+J8+J24+J26+J30+J34+J28+J38+J44+J32+J46</f>
        <v>10</v>
      </c>
      <c r="K48" s="370">
        <f>K40+K42+K36+K12+K14+K16+K18+K20+K22+K8+K24+K26+K30+K34+K28+K38+K44+K32+K46</f>
        <v>0</v>
      </c>
      <c r="L48" s="371">
        <f t="shared" si="3"/>
        <v>153</v>
      </c>
      <c r="M48" s="370">
        <f>M40+M42+M36+M12+M14+M16+M18+M20+M22+M8+M24+M26+M30+M34+M28+M38+M44+M32+M46</f>
        <v>128</v>
      </c>
      <c r="N48" s="370">
        <f>N40+N42+N36+N12+N14+N16+N18+N20+N22+N8+N24+N26+N30+N34+N28+N38+N44+N32+N46</f>
        <v>25</v>
      </c>
    </row>
    <row r="49" spans="1:14" s="1" customFormat="1" ht="12" customHeight="1" thickBot="1">
      <c r="A49" s="1068"/>
      <c r="B49" s="762"/>
      <c r="C49" s="372"/>
      <c r="D49" s="986"/>
      <c r="E49" s="1069"/>
      <c r="F49" s="352"/>
      <c r="G49" s="350"/>
      <c r="H49" s="373"/>
      <c r="I49" s="759">
        <f t="shared" si="2"/>
        <v>448.65000000000003</v>
      </c>
      <c r="J49" s="374">
        <f>J41+J43+J37+J13+J15+J17+J19+J21+J23+J9+J25+J27+J31+J35+J29+J39+J45+J33+J47</f>
        <v>448.65000000000003</v>
      </c>
      <c r="K49" s="352">
        <f>K41+K43+K37+K13+K15+K17+K19+K21+K23+K9+K25+K27+K31+K35+K29+K39+K45+K33+K47</f>
        <v>0</v>
      </c>
      <c r="L49" s="568">
        <f t="shared" si="3"/>
        <v>2012</v>
      </c>
      <c r="M49" s="352">
        <f>M41+M43+M37+M13+M15+M17+M19+M21+M23+M9+M25+M27+M31+M35+M29+M39+M45+M33+M47</f>
        <v>1761</v>
      </c>
      <c r="N49" s="352">
        <f>N41+N43+N37+N13+N15+N17+N19+N21+N23+N9+N25+N27+N31+N35+N29+N39+N45+N33+N47</f>
        <v>251</v>
      </c>
    </row>
    <row r="50" spans="1:14" ht="12.75" customHeight="1" hidden="1" thickBot="1">
      <c r="A50" s="33"/>
      <c r="B50" s="33"/>
      <c r="C50" s="1150" t="s">
        <v>454</v>
      </c>
      <c r="D50" s="177" t="s">
        <v>450</v>
      </c>
      <c r="E50" s="178"/>
      <c r="F50" s="180">
        <f>SUMIF($D$40:$D$47,"=I",F40:F47)</f>
        <v>0</v>
      </c>
      <c r="G50" s="180">
        <f>SUMIF($D$40:$D$47,"=I",G40:G47)</f>
        <v>0</v>
      </c>
      <c r="H50" s="180">
        <f>SUMIF($D$40:$D$47,"=I",H40:H47)</f>
        <v>0</v>
      </c>
      <c r="I50" s="89"/>
      <c r="J50" s="89"/>
      <c r="K50" s="89"/>
      <c r="L50" s="89"/>
      <c r="M50" s="89"/>
      <c r="N50" s="89"/>
    </row>
    <row r="51" spans="1:8" ht="12.75" customHeight="1" hidden="1" thickBot="1">
      <c r="A51" s="33"/>
      <c r="B51" s="33"/>
      <c r="C51" s="1151"/>
      <c r="D51" s="65" t="s">
        <v>100</v>
      </c>
      <c r="E51" s="66"/>
      <c r="F51" s="71">
        <f>SUMIF($D$40:$D$49,"=II",F40:F49)</f>
        <v>0</v>
      </c>
      <c r="G51" s="71">
        <f>SUMIF($D$40:$D$49,"=II",G40:G49)</f>
        <v>0</v>
      </c>
      <c r="H51" s="71">
        <f>SUMIF($D$40:$D$49,"=II",H40:H49)</f>
        <v>0</v>
      </c>
    </row>
    <row r="52" spans="1:8" ht="12.75" customHeight="1">
      <c r="A52" s="33"/>
      <c r="B52" s="33"/>
      <c r="C52" s="1151"/>
      <c r="D52" s="62" t="s">
        <v>102</v>
      </c>
      <c r="E52" s="66"/>
      <c r="F52" s="71">
        <f>SUMIF($D$8:$D$47,"=III",F8:F47)</f>
        <v>14.77</v>
      </c>
      <c r="G52" s="71">
        <f>SUMIF($D$8:$D$47,"=III",G8:G47)</f>
        <v>14.77</v>
      </c>
      <c r="H52" s="71">
        <f>SUMIF($D$8:$D$47,"=III",H8:H47)</f>
        <v>0</v>
      </c>
    </row>
    <row r="53" spans="1:8" ht="12.75">
      <c r="A53" s="33"/>
      <c r="B53" s="33"/>
      <c r="C53" s="1151"/>
      <c r="D53" s="66" t="s">
        <v>27</v>
      </c>
      <c r="E53" s="72"/>
      <c r="F53" s="71">
        <f>SUMIF($D$8:$D$47,"=IV",F8:F47)</f>
        <v>152.155</v>
      </c>
      <c r="G53" s="71">
        <f>SUMIF($D$8:$D$47,"=IV",G8:G47)</f>
        <v>37.09</v>
      </c>
      <c r="H53" s="71">
        <f>SUMIF($D$8:$D$47,"=IV",H8:H47)</f>
        <v>115.06499999999998</v>
      </c>
    </row>
    <row r="54" spans="1:8" ht="12.75">
      <c r="A54" s="33"/>
      <c r="B54" s="33"/>
      <c r="C54" s="1151"/>
      <c r="D54" s="66" t="s">
        <v>49</v>
      </c>
      <c r="E54" s="71"/>
      <c r="F54" s="97">
        <f>SUMIF($D$8:$D$47,"=V",F8:F47)</f>
        <v>7.619</v>
      </c>
      <c r="G54" s="97">
        <f>SUMIF($D$8:$D$47,"=V",G8:G47)</f>
        <v>3.13</v>
      </c>
      <c r="H54" s="97">
        <f>SUMIF($D$8:$D$47,"=V",H8:H47)</f>
        <v>4.489</v>
      </c>
    </row>
    <row r="55" spans="3:8" ht="12.75">
      <c r="C55" s="94"/>
      <c r="D55" s="7"/>
      <c r="F55" s="52"/>
      <c r="G55" s="52"/>
      <c r="H55" s="52"/>
    </row>
    <row r="56" spans="3:10" ht="12.75">
      <c r="C56" s="94"/>
      <c r="D56" s="7"/>
      <c r="G56" s="121"/>
      <c r="H56" s="121"/>
      <c r="J56" t="s">
        <v>617</v>
      </c>
    </row>
    <row r="57" spans="2:4" ht="12.75">
      <c r="B57" s="53" t="s">
        <v>274</v>
      </c>
      <c r="C57" s="94"/>
      <c r="D57" s="7"/>
    </row>
    <row r="58" spans="3:9" ht="12.75">
      <c r="C58" s="94"/>
      <c r="D58" s="7"/>
      <c r="I58" s="31"/>
    </row>
    <row r="59" spans="3:9" ht="12.75">
      <c r="C59" s="94"/>
      <c r="D59" s="7"/>
      <c r="I59" s="31"/>
    </row>
    <row r="60" spans="3:4" ht="12.75">
      <c r="C60" s="94"/>
      <c r="D60" s="7"/>
    </row>
    <row r="61" spans="3:4" ht="12.75">
      <c r="C61" s="94"/>
      <c r="D61" s="7"/>
    </row>
    <row r="62" spans="3:4" ht="12.75">
      <c r="C62" s="94"/>
      <c r="D62" s="7"/>
    </row>
    <row r="63" spans="3:4" ht="12.75">
      <c r="C63" s="94"/>
      <c r="D63" s="7"/>
    </row>
    <row r="64" spans="3:4" ht="12.75">
      <c r="C64" s="94"/>
      <c r="D64" s="7"/>
    </row>
    <row r="65" spans="3:4" ht="12.75">
      <c r="C65" s="94"/>
      <c r="D65" s="7"/>
    </row>
    <row r="66" spans="3:4" ht="12.75">
      <c r="C66" s="94"/>
      <c r="D66" s="7"/>
    </row>
    <row r="67" spans="3:4" ht="12.75">
      <c r="C67" s="94"/>
      <c r="D67" s="7"/>
    </row>
    <row r="68" spans="3:4" ht="12.75">
      <c r="C68" s="94"/>
      <c r="D68" s="7"/>
    </row>
    <row r="69" spans="3:4" ht="12.75">
      <c r="C69" s="94"/>
      <c r="D69" s="7"/>
    </row>
    <row r="70" spans="3:4" ht="12.75">
      <c r="C70" s="94"/>
      <c r="D70" s="7"/>
    </row>
    <row r="71" spans="3:4" ht="12.75">
      <c r="C71" s="94"/>
      <c r="D71" s="7"/>
    </row>
    <row r="72" spans="3:4" ht="12.75">
      <c r="C72" s="94"/>
      <c r="D72" s="7"/>
    </row>
    <row r="73" spans="3:4" ht="12.75">
      <c r="C73" s="94"/>
      <c r="D73" s="7"/>
    </row>
    <row r="74" spans="3:4" ht="12.75">
      <c r="C74" s="94"/>
      <c r="D74" s="7"/>
    </row>
    <row r="75" spans="3:4" ht="12.75">
      <c r="C75" s="94"/>
      <c r="D75" s="7"/>
    </row>
    <row r="76" spans="3:4" ht="12.75">
      <c r="C76" s="94"/>
      <c r="D76" s="7"/>
    </row>
  </sheetData>
  <sheetProtection/>
  <mergeCells count="171">
    <mergeCell ref="B8:B11"/>
    <mergeCell ref="C50:C54"/>
    <mergeCell ref="B28:B29"/>
    <mergeCell ref="C38:C39"/>
    <mergeCell ref="B38:B39"/>
    <mergeCell ref="B30:B31"/>
    <mergeCell ref="C44:C45"/>
    <mergeCell ref="D26:D27"/>
    <mergeCell ref="C8:C9"/>
    <mergeCell ref="A44:A45"/>
    <mergeCell ref="B44:B45"/>
    <mergeCell ref="A30:A31"/>
    <mergeCell ref="C28:C29"/>
    <mergeCell ref="C34:C35"/>
    <mergeCell ref="B24:B25"/>
    <mergeCell ref="B34:B35"/>
    <mergeCell ref="D22:D23"/>
    <mergeCell ref="D20:D21"/>
    <mergeCell ref="D18:D19"/>
    <mergeCell ref="C30:C31"/>
    <mergeCell ref="C42:C43"/>
    <mergeCell ref="D36:D37"/>
    <mergeCell ref="C22:C23"/>
    <mergeCell ref="D32:D33"/>
    <mergeCell ref="D28:D29"/>
    <mergeCell ref="C36:C37"/>
    <mergeCell ref="D30:D31"/>
    <mergeCell ref="D16:D17"/>
    <mergeCell ref="A42:A43"/>
    <mergeCell ref="B42:B43"/>
    <mergeCell ref="C20:C21"/>
    <mergeCell ref="C16:C17"/>
    <mergeCell ref="B14:B15"/>
    <mergeCell ref="C14:C15"/>
    <mergeCell ref="C18:C19"/>
    <mergeCell ref="C24:C25"/>
    <mergeCell ref="C26:C27"/>
    <mergeCell ref="B12:B13"/>
    <mergeCell ref="A40:A41"/>
    <mergeCell ref="B20:B21"/>
    <mergeCell ref="A20:A21"/>
    <mergeCell ref="A18:A19"/>
    <mergeCell ref="B18:B19"/>
    <mergeCell ref="A36:A37"/>
    <mergeCell ref="B36:B37"/>
    <mergeCell ref="C12:C13"/>
    <mergeCell ref="D34:D35"/>
    <mergeCell ref="A22:A23"/>
    <mergeCell ref="B22:B23"/>
    <mergeCell ref="A28:A29"/>
    <mergeCell ref="A26:A27"/>
    <mergeCell ref="B26:B27"/>
    <mergeCell ref="A14:A15"/>
    <mergeCell ref="D12:D13"/>
    <mergeCell ref="D14:D15"/>
    <mergeCell ref="A8:A11"/>
    <mergeCell ref="A38:A39"/>
    <mergeCell ref="D24:D25"/>
    <mergeCell ref="E8:E9"/>
    <mergeCell ref="A24:A25"/>
    <mergeCell ref="E26:E27"/>
    <mergeCell ref="E24:E25"/>
    <mergeCell ref="D8:D9"/>
    <mergeCell ref="A16:A17"/>
    <mergeCell ref="E38:E39"/>
    <mergeCell ref="E34:E35"/>
    <mergeCell ref="E28:E29"/>
    <mergeCell ref="E46:E47"/>
    <mergeCell ref="E44:E45"/>
    <mergeCell ref="E32:E33"/>
    <mergeCell ref="E36:E37"/>
    <mergeCell ref="E30:E31"/>
    <mergeCell ref="E40:E41"/>
    <mergeCell ref="D44:D45"/>
    <mergeCell ref="D46:D47"/>
    <mergeCell ref="D38:D39"/>
    <mergeCell ref="F18:F19"/>
    <mergeCell ref="F38:F39"/>
    <mergeCell ref="F8:F9"/>
    <mergeCell ref="F22:F23"/>
    <mergeCell ref="F28:F29"/>
    <mergeCell ref="F20:F21"/>
    <mergeCell ref="F26:F27"/>
    <mergeCell ref="G28:G29"/>
    <mergeCell ref="E12:E13"/>
    <mergeCell ref="E22:E23"/>
    <mergeCell ref="E20:E21"/>
    <mergeCell ref="E18:E19"/>
    <mergeCell ref="E14:E15"/>
    <mergeCell ref="E16:E17"/>
    <mergeCell ref="G22:G23"/>
    <mergeCell ref="F42:F43"/>
    <mergeCell ref="F12:F13"/>
    <mergeCell ref="F46:F47"/>
    <mergeCell ref="G46:G47"/>
    <mergeCell ref="G24:G25"/>
    <mergeCell ref="G12:G13"/>
    <mergeCell ref="F34:F35"/>
    <mergeCell ref="F30:F31"/>
    <mergeCell ref="F24:F25"/>
    <mergeCell ref="G26:G27"/>
    <mergeCell ref="H22:H23"/>
    <mergeCell ref="G20:G21"/>
    <mergeCell ref="H44:H45"/>
    <mergeCell ref="F32:F33"/>
    <mergeCell ref="G32:G33"/>
    <mergeCell ref="G44:G45"/>
    <mergeCell ref="F44:F45"/>
    <mergeCell ref="H32:H33"/>
    <mergeCell ref="G38:G39"/>
    <mergeCell ref="G42:G43"/>
    <mergeCell ref="H16:H17"/>
    <mergeCell ref="H14:H15"/>
    <mergeCell ref="G18:G19"/>
    <mergeCell ref="H28:H29"/>
    <mergeCell ref="G34:G35"/>
    <mergeCell ref="F14:F15"/>
    <mergeCell ref="H34:H35"/>
    <mergeCell ref="G30:G31"/>
    <mergeCell ref="H30:H31"/>
    <mergeCell ref="F16:F17"/>
    <mergeCell ref="H18:H19"/>
    <mergeCell ref="F36:F37"/>
    <mergeCell ref="H36:H37"/>
    <mergeCell ref="H20:H21"/>
    <mergeCell ref="H8:H9"/>
    <mergeCell ref="H46:H47"/>
    <mergeCell ref="H38:H39"/>
    <mergeCell ref="G8:G9"/>
    <mergeCell ref="H26:H27"/>
    <mergeCell ref="H24:H25"/>
    <mergeCell ref="A1:N1"/>
    <mergeCell ref="A2:N2"/>
    <mergeCell ref="A3:N3"/>
    <mergeCell ref="J6:K6"/>
    <mergeCell ref="I5:K5"/>
    <mergeCell ref="H6:H7"/>
    <mergeCell ref="L5:N5"/>
    <mergeCell ref="M6:N6"/>
    <mergeCell ref="I6:I7"/>
    <mergeCell ref="A5:A7"/>
    <mergeCell ref="C5:C7"/>
    <mergeCell ref="A46:A47"/>
    <mergeCell ref="B32:B33"/>
    <mergeCell ref="B46:B47"/>
    <mergeCell ref="C32:C33"/>
    <mergeCell ref="C46:C47"/>
    <mergeCell ref="A32:A33"/>
    <mergeCell ref="A34:A35"/>
    <mergeCell ref="B16:B17"/>
    <mergeCell ref="A12:A13"/>
    <mergeCell ref="D42:D43"/>
    <mergeCell ref="G6:G7"/>
    <mergeCell ref="B5:B7"/>
    <mergeCell ref="F40:F41"/>
    <mergeCell ref="C40:C41"/>
    <mergeCell ref="D5:D7"/>
    <mergeCell ref="E5:E7"/>
    <mergeCell ref="D40:D41"/>
    <mergeCell ref="B40:B41"/>
    <mergeCell ref="F5:F7"/>
    <mergeCell ref="L6:L7"/>
    <mergeCell ref="G40:G41"/>
    <mergeCell ref="H40:H41"/>
    <mergeCell ref="G5:H5"/>
    <mergeCell ref="E42:E43"/>
    <mergeCell ref="H42:H43"/>
    <mergeCell ref="G16:G17"/>
    <mergeCell ref="G14:G15"/>
    <mergeCell ref="G36:G37"/>
    <mergeCell ref="H12:H13"/>
  </mergeCells>
  <printOptions/>
  <pageMargins left="0.6299212598425197" right="0.35433070866141736" top="0.7480314960629921" bottom="0.5118110236220472" header="0.5118110236220472" footer="0.5118110236220472"/>
  <pageSetup firstPageNumber="25" useFirstPageNumber="1" fitToHeight="0" fitToWidth="1" horizontalDpi="300" verticalDpi="300" orientation="landscape" paperSize="9" r:id="rId1"/>
  <headerFooter alignWithMargins="0">
    <oddFooter>&amp;CСтраница &amp;P</oddFooter>
  </headerFooter>
  <rowBreaks count="1" manualBreakCount="1">
    <brk id="43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6"/>
  <sheetViews>
    <sheetView zoomScalePageLayoutView="0" workbookViewId="0" topLeftCell="A10">
      <selection activeCell="O1" sqref="O1:V16384"/>
    </sheetView>
  </sheetViews>
  <sheetFormatPr defaultColWidth="9.00390625" defaultRowHeight="12.75"/>
  <cols>
    <col min="1" max="1" width="4.25390625" style="0" customWidth="1"/>
    <col min="2" max="2" width="12.00390625" style="53" customWidth="1"/>
    <col min="3" max="3" width="33.125" style="0" customWidth="1"/>
    <col min="4" max="7" width="9.25390625" style="0" customWidth="1"/>
    <col min="8" max="8" width="10.25390625" style="0" customWidth="1"/>
    <col min="9" max="9" width="8.00390625" style="0" bestFit="1" customWidth="1"/>
    <col min="10" max="10" width="7.625" style="0" bestFit="1" customWidth="1"/>
    <col min="11" max="11" width="6.875" style="0" customWidth="1"/>
    <col min="12" max="12" width="5.625" style="0" bestFit="1" customWidth="1"/>
    <col min="13" max="13" width="7.375" style="0" bestFit="1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1232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1" t="s">
        <v>1411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28.5" customHeight="1" thickBot="1"/>
    <row r="5" spans="1:14" s="1" customFormat="1" ht="12.75" customHeight="1" thickBot="1">
      <c r="A5" s="1208" t="s">
        <v>9</v>
      </c>
      <c r="B5" s="1203" t="s">
        <v>735</v>
      </c>
      <c r="C5" s="1222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2.75" thickBot="1">
      <c r="A6" s="1226"/>
      <c r="B6" s="1204"/>
      <c r="C6" s="1355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2.75" thickBot="1">
      <c r="A7" s="1226"/>
      <c r="B7" s="1204"/>
      <c r="C7" s="1355"/>
      <c r="D7" s="1207"/>
      <c r="E7" s="1212"/>
      <c r="F7" s="1204"/>
      <c r="G7" s="1207"/>
      <c r="H7" s="1441"/>
      <c r="I7" s="1355"/>
      <c r="J7" s="21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2">
      <c r="A8" s="1228">
        <v>1</v>
      </c>
      <c r="B8" s="1359" t="s">
        <v>926</v>
      </c>
      <c r="C8" s="1191" t="s">
        <v>201</v>
      </c>
      <c r="D8" s="1742" t="s">
        <v>509</v>
      </c>
      <c r="E8" s="1193" t="s">
        <v>251</v>
      </c>
      <c r="F8" s="1189">
        <f>G8+H8</f>
        <v>83.30000000000001</v>
      </c>
      <c r="G8" s="1197">
        <v>80.4</v>
      </c>
      <c r="H8" s="1197">
        <v>2.9</v>
      </c>
      <c r="I8" s="502">
        <f aca="true" t="shared" si="0" ref="I8:I29">J8+K8</f>
        <v>13</v>
      </c>
      <c r="J8" s="503">
        <v>11</v>
      </c>
      <c r="K8" s="502">
        <v>2</v>
      </c>
      <c r="L8" s="502">
        <f aca="true" t="shared" si="1" ref="L8:L29">M8+N8</f>
        <v>114</v>
      </c>
      <c r="M8" s="503">
        <v>107</v>
      </c>
      <c r="N8" s="502">
        <v>7</v>
      </c>
    </row>
    <row r="9" spans="1:14" s="266" customFormat="1" ht="56.25" customHeight="1">
      <c r="A9" s="1339"/>
      <c r="B9" s="1360"/>
      <c r="C9" s="1340"/>
      <c r="D9" s="1743"/>
      <c r="E9" s="1347"/>
      <c r="F9" s="1341"/>
      <c r="G9" s="1345"/>
      <c r="H9" s="1345"/>
      <c r="I9" s="919">
        <f t="shared" si="0"/>
        <v>804.51</v>
      </c>
      <c r="J9" s="507">
        <v>459.88</v>
      </c>
      <c r="K9" s="918">
        <v>344.63</v>
      </c>
      <c r="L9" s="918">
        <f t="shared" si="1"/>
        <v>2930</v>
      </c>
      <c r="M9" s="507">
        <v>2830</v>
      </c>
      <c r="N9" s="918">
        <v>100</v>
      </c>
    </row>
    <row r="10" spans="1:14" s="266" customFormat="1" ht="17.25" customHeight="1">
      <c r="A10" s="1339"/>
      <c r="B10" s="1360"/>
      <c r="C10" s="521" t="s">
        <v>506</v>
      </c>
      <c r="D10" s="569" t="s">
        <v>102</v>
      </c>
      <c r="E10" s="570" t="s">
        <v>507</v>
      </c>
      <c r="F10" s="936">
        <f>G10+H10</f>
        <v>8</v>
      </c>
      <c r="G10" s="936">
        <v>8</v>
      </c>
      <c r="H10" s="936">
        <v>0</v>
      </c>
      <c r="I10" s="927"/>
      <c r="J10" s="928"/>
      <c r="K10" s="512"/>
      <c r="L10" s="927"/>
      <c r="M10" s="928"/>
      <c r="N10" s="927"/>
    </row>
    <row r="11" spans="1:14" s="266" customFormat="1" ht="13.5" customHeight="1" thickBot="1">
      <c r="A11" s="1229"/>
      <c r="B11" s="1361"/>
      <c r="C11" s="892"/>
      <c r="D11" s="571" t="s">
        <v>27</v>
      </c>
      <c r="E11" s="893" t="s">
        <v>508</v>
      </c>
      <c r="F11" s="895">
        <f>G11+H11</f>
        <v>75.30000000000001</v>
      </c>
      <c r="G11" s="895">
        <v>72.4</v>
      </c>
      <c r="H11" s="895">
        <v>2.9</v>
      </c>
      <c r="I11" s="891"/>
      <c r="J11" s="891"/>
      <c r="K11" s="953"/>
      <c r="L11" s="891"/>
      <c r="M11" s="891"/>
      <c r="N11" s="891"/>
    </row>
    <row r="12" spans="1:14" s="266" customFormat="1" ht="12">
      <c r="A12" s="1167">
        <v>2</v>
      </c>
      <c r="B12" s="1169" t="s">
        <v>991</v>
      </c>
      <c r="C12" s="1182" t="s">
        <v>252</v>
      </c>
      <c r="D12" s="1180" t="s">
        <v>27</v>
      </c>
      <c r="E12" s="1173" t="s">
        <v>1483</v>
      </c>
      <c r="F12" s="1184">
        <f>G12+H12</f>
        <v>11.423</v>
      </c>
      <c r="G12" s="1184">
        <v>0</v>
      </c>
      <c r="H12" s="1184">
        <v>11.423</v>
      </c>
      <c r="I12" s="644">
        <f t="shared" si="0"/>
        <v>0</v>
      </c>
      <c r="J12" s="648">
        <v>0</v>
      </c>
      <c r="K12" s="646">
        <v>0</v>
      </c>
      <c r="L12" s="644">
        <f t="shared" si="1"/>
        <v>16</v>
      </c>
      <c r="M12" s="648">
        <v>15</v>
      </c>
      <c r="N12" s="644">
        <v>1</v>
      </c>
    </row>
    <row r="13" spans="1:14" s="266" customFormat="1" ht="24.75" customHeight="1" thickBot="1">
      <c r="A13" s="1168"/>
      <c r="B13" s="1170"/>
      <c r="C13" s="1183"/>
      <c r="D13" s="1181"/>
      <c r="E13" s="1174"/>
      <c r="F13" s="1185"/>
      <c r="G13" s="1185"/>
      <c r="H13" s="1185"/>
      <c r="I13" s="883">
        <f t="shared" si="0"/>
        <v>0</v>
      </c>
      <c r="J13" s="611">
        <v>0</v>
      </c>
      <c r="K13" s="915">
        <v>0</v>
      </c>
      <c r="L13" s="883">
        <f t="shared" si="1"/>
        <v>222</v>
      </c>
      <c r="M13" s="611">
        <v>210</v>
      </c>
      <c r="N13" s="883">
        <v>12</v>
      </c>
    </row>
    <row r="14" spans="1:14" s="266" customFormat="1" ht="12">
      <c r="A14" s="1167">
        <v>3</v>
      </c>
      <c r="B14" s="1169" t="s">
        <v>992</v>
      </c>
      <c r="C14" s="1182" t="s">
        <v>253</v>
      </c>
      <c r="D14" s="1180" t="s">
        <v>49</v>
      </c>
      <c r="E14" s="1169" t="s">
        <v>1317</v>
      </c>
      <c r="F14" s="1184">
        <f>G14+H14</f>
        <v>40.793</v>
      </c>
      <c r="G14" s="1184">
        <v>0.576</v>
      </c>
      <c r="H14" s="1184">
        <v>40.217</v>
      </c>
      <c r="I14" s="644">
        <f t="shared" si="0"/>
        <v>3</v>
      </c>
      <c r="J14" s="645">
        <v>2</v>
      </c>
      <c r="K14" s="646">
        <f>2-1</f>
        <v>1</v>
      </c>
      <c r="L14" s="644">
        <f t="shared" si="1"/>
        <v>79</v>
      </c>
      <c r="M14" s="645">
        <f>47-8</f>
        <v>39</v>
      </c>
      <c r="N14" s="644">
        <f>32-3+11</f>
        <v>40</v>
      </c>
    </row>
    <row r="15" spans="1:14" s="266" customFormat="1" ht="30.75" customHeight="1" thickBot="1">
      <c r="A15" s="1168"/>
      <c r="B15" s="1170"/>
      <c r="C15" s="1183"/>
      <c r="D15" s="1181"/>
      <c r="E15" s="1170"/>
      <c r="F15" s="1185"/>
      <c r="G15" s="1185"/>
      <c r="H15" s="1185"/>
      <c r="I15" s="883">
        <f t="shared" si="0"/>
        <v>78.30000000000003</v>
      </c>
      <c r="J15" s="990">
        <v>44.2</v>
      </c>
      <c r="K15" s="915">
        <f>207.83-173.73</f>
        <v>34.10000000000002</v>
      </c>
      <c r="L15" s="883">
        <f t="shared" si="1"/>
        <v>735</v>
      </c>
      <c r="M15" s="990">
        <f>394-73</f>
        <v>321</v>
      </c>
      <c r="N15" s="883">
        <f>333-25+106</f>
        <v>414</v>
      </c>
    </row>
    <row r="16" spans="1:14" s="266" customFormat="1" ht="12">
      <c r="A16" s="1167">
        <v>4</v>
      </c>
      <c r="B16" s="1169" t="s">
        <v>993</v>
      </c>
      <c r="C16" s="1182" t="s">
        <v>254</v>
      </c>
      <c r="D16" s="1180" t="s">
        <v>27</v>
      </c>
      <c r="E16" s="1180" t="s">
        <v>1250</v>
      </c>
      <c r="F16" s="1184">
        <f>G16+H16</f>
        <v>15.406</v>
      </c>
      <c r="G16" s="1184">
        <v>15.406</v>
      </c>
      <c r="H16" s="1178">
        <v>0</v>
      </c>
      <c r="I16" s="644">
        <f t="shared" si="0"/>
        <v>1</v>
      </c>
      <c r="J16" s="645">
        <v>1</v>
      </c>
      <c r="K16" s="648">
        <v>0</v>
      </c>
      <c r="L16" s="644">
        <f t="shared" si="1"/>
        <v>30</v>
      </c>
      <c r="M16" s="645">
        <v>30</v>
      </c>
      <c r="N16" s="644">
        <v>0</v>
      </c>
    </row>
    <row r="17" spans="1:14" s="266" customFormat="1" ht="27" customHeight="1" thickBot="1">
      <c r="A17" s="1168"/>
      <c r="B17" s="1170"/>
      <c r="C17" s="1183"/>
      <c r="D17" s="1181"/>
      <c r="E17" s="1181"/>
      <c r="F17" s="1185"/>
      <c r="G17" s="1185"/>
      <c r="H17" s="1179"/>
      <c r="I17" s="885">
        <f t="shared" si="0"/>
        <v>12</v>
      </c>
      <c r="J17" s="650">
        <v>12</v>
      </c>
      <c r="K17" s="611">
        <v>0</v>
      </c>
      <c r="L17" s="883">
        <f t="shared" si="1"/>
        <v>371</v>
      </c>
      <c r="M17" s="990">
        <v>371</v>
      </c>
      <c r="N17" s="883">
        <v>0</v>
      </c>
    </row>
    <row r="18" spans="1:14" s="266" customFormat="1" ht="12">
      <c r="A18" s="1167">
        <v>5</v>
      </c>
      <c r="B18" s="1169" t="s">
        <v>994</v>
      </c>
      <c r="C18" s="1182" t="s">
        <v>255</v>
      </c>
      <c r="D18" s="1180" t="s">
        <v>27</v>
      </c>
      <c r="E18" s="1180" t="s">
        <v>1479</v>
      </c>
      <c r="F18" s="1184">
        <f>G18+H18</f>
        <v>6.916</v>
      </c>
      <c r="G18" s="1184">
        <v>6.916</v>
      </c>
      <c r="H18" s="1178">
        <v>0</v>
      </c>
      <c r="I18" s="644">
        <f t="shared" si="0"/>
        <v>0</v>
      </c>
      <c r="J18" s="648">
        <v>0</v>
      </c>
      <c r="K18" s="646">
        <v>0</v>
      </c>
      <c r="L18" s="644">
        <f t="shared" si="1"/>
        <v>8</v>
      </c>
      <c r="M18" s="648">
        <v>7</v>
      </c>
      <c r="N18" s="644">
        <v>1</v>
      </c>
    </row>
    <row r="19" spans="1:14" s="266" customFormat="1" ht="29.25" customHeight="1" thickBot="1">
      <c r="A19" s="1168"/>
      <c r="B19" s="1170"/>
      <c r="C19" s="1183"/>
      <c r="D19" s="1181"/>
      <c r="E19" s="1181"/>
      <c r="F19" s="1185"/>
      <c r="G19" s="1185"/>
      <c r="H19" s="1179"/>
      <c r="I19" s="883">
        <f t="shared" si="0"/>
        <v>0</v>
      </c>
      <c r="J19" s="611">
        <v>0</v>
      </c>
      <c r="K19" s="915">
        <v>0</v>
      </c>
      <c r="L19" s="883">
        <f t="shared" si="1"/>
        <v>94</v>
      </c>
      <c r="M19" s="611">
        <v>84</v>
      </c>
      <c r="N19" s="883">
        <v>10</v>
      </c>
    </row>
    <row r="20" spans="1:14" s="266" customFormat="1" ht="12">
      <c r="A20" s="1167">
        <v>6</v>
      </c>
      <c r="B20" s="1169" t="s">
        <v>995</v>
      </c>
      <c r="C20" s="1182" t="s">
        <v>256</v>
      </c>
      <c r="D20" s="1180" t="s">
        <v>27</v>
      </c>
      <c r="E20" s="1169" t="s">
        <v>1478</v>
      </c>
      <c r="F20" s="1184">
        <f>G20+H20</f>
        <v>3.17</v>
      </c>
      <c r="G20" s="1184">
        <v>3.17</v>
      </c>
      <c r="H20" s="1178">
        <v>0</v>
      </c>
      <c r="I20" s="644">
        <f t="shared" si="0"/>
        <v>0</v>
      </c>
      <c r="J20" s="645">
        <v>0</v>
      </c>
      <c r="K20" s="646">
        <v>0</v>
      </c>
      <c r="L20" s="644">
        <f t="shared" si="1"/>
        <v>4</v>
      </c>
      <c r="M20" s="645">
        <v>4</v>
      </c>
      <c r="N20" s="644">
        <v>0</v>
      </c>
    </row>
    <row r="21" spans="1:14" s="266" customFormat="1" ht="23.25" customHeight="1" thickBot="1">
      <c r="A21" s="1168"/>
      <c r="B21" s="1170"/>
      <c r="C21" s="1183"/>
      <c r="D21" s="1181"/>
      <c r="E21" s="1170"/>
      <c r="F21" s="1185"/>
      <c r="G21" s="1185"/>
      <c r="H21" s="1179"/>
      <c r="I21" s="883">
        <f t="shared" si="0"/>
        <v>0</v>
      </c>
      <c r="J21" s="990">
        <v>0</v>
      </c>
      <c r="K21" s="915">
        <v>0</v>
      </c>
      <c r="L21" s="883">
        <f t="shared" si="1"/>
        <v>101</v>
      </c>
      <c r="M21" s="990">
        <v>101</v>
      </c>
      <c r="N21" s="883">
        <v>0</v>
      </c>
    </row>
    <row r="22" spans="1:14" s="266" customFormat="1" ht="12">
      <c r="A22" s="1167">
        <v>7</v>
      </c>
      <c r="B22" s="1169" t="s">
        <v>996</v>
      </c>
      <c r="C22" s="1182" t="s">
        <v>257</v>
      </c>
      <c r="D22" s="1180" t="s">
        <v>49</v>
      </c>
      <c r="E22" s="1169" t="s">
        <v>1477</v>
      </c>
      <c r="F22" s="1184">
        <f>G22+H22</f>
        <v>43.596000000000004</v>
      </c>
      <c r="G22" s="1169">
        <v>5.816</v>
      </c>
      <c r="H22" s="1184">
        <v>37.78</v>
      </c>
      <c r="I22" s="644">
        <f t="shared" si="0"/>
        <v>6</v>
      </c>
      <c r="J22" s="648">
        <v>4</v>
      </c>
      <c r="K22" s="646">
        <v>2</v>
      </c>
      <c r="L22" s="644">
        <f t="shared" si="1"/>
        <v>27</v>
      </c>
      <c r="M22" s="648">
        <v>4</v>
      </c>
      <c r="N22" s="644">
        <v>23</v>
      </c>
    </row>
    <row r="23" spans="1:14" s="266" customFormat="1" ht="23.25" customHeight="1" thickBot="1">
      <c r="A23" s="1168"/>
      <c r="B23" s="1170"/>
      <c r="C23" s="1183"/>
      <c r="D23" s="1181"/>
      <c r="E23" s="1170"/>
      <c r="F23" s="1185"/>
      <c r="G23" s="1170"/>
      <c r="H23" s="1185"/>
      <c r="I23" s="885">
        <f t="shared" si="0"/>
        <v>93.8</v>
      </c>
      <c r="J23" s="611">
        <v>53.76</v>
      </c>
      <c r="K23" s="915">
        <v>40.04</v>
      </c>
      <c r="L23" s="883">
        <f t="shared" si="1"/>
        <v>270</v>
      </c>
      <c r="M23" s="611">
        <v>40</v>
      </c>
      <c r="N23" s="883">
        <v>230</v>
      </c>
    </row>
    <row r="24" spans="1:14" s="266" customFormat="1" ht="12">
      <c r="A24" s="1167">
        <v>8</v>
      </c>
      <c r="B24" s="1169" t="s">
        <v>997</v>
      </c>
      <c r="C24" s="1232" t="s">
        <v>258</v>
      </c>
      <c r="D24" s="1180" t="s">
        <v>49</v>
      </c>
      <c r="E24" s="1169" t="s">
        <v>1480</v>
      </c>
      <c r="F24" s="1184">
        <f>G24+H24</f>
        <v>12.231</v>
      </c>
      <c r="G24" s="1178">
        <v>0</v>
      </c>
      <c r="H24" s="1184">
        <v>12.231</v>
      </c>
      <c r="I24" s="644">
        <f t="shared" si="0"/>
        <v>1</v>
      </c>
      <c r="J24" s="645">
        <v>1</v>
      </c>
      <c r="K24" s="646">
        <v>0</v>
      </c>
      <c r="L24" s="644">
        <f t="shared" si="1"/>
        <v>7</v>
      </c>
      <c r="M24" s="645">
        <v>5</v>
      </c>
      <c r="N24" s="644">
        <v>2</v>
      </c>
    </row>
    <row r="25" spans="1:14" s="266" customFormat="1" ht="29.25" customHeight="1" thickBot="1">
      <c r="A25" s="1168"/>
      <c r="B25" s="1170"/>
      <c r="C25" s="1233"/>
      <c r="D25" s="1181"/>
      <c r="E25" s="1170"/>
      <c r="F25" s="1185"/>
      <c r="G25" s="1179"/>
      <c r="H25" s="1185"/>
      <c r="I25" s="883">
        <f t="shared" si="0"/>
        <v>29.73</v>
      </c>
      <c r="J25" s="990">
        <v>29.73</v>
      </c>
      <c r="K25" s="915">
        <v>0</v>
      </c>
      <c r="L25" s="883">
        <f t="shared" si="1"/>
        <v>77</v>
      </c>
      <c r="M25" s="990">
        <v>66</v>
      </c>
      <c r="N25" s="883">
        <v>11</v>
      </c>
    </row>
    <row r="26" spans="1:14" s="266" customFormat="1" ht="12">
      <c r="A26" s="1167">
        <v>9</v>
      </c>
      <c r="B26" s="1169" t="s">
        <v>998</v>
      </c>
      <c r="C26" s="1232" t="s">
        <v>259</v>
      </c>
      <c r="D26" s="1180" t="s">
        <v>49</v>
      </c>
      <c r="E26" s="1169" t="s">
        <v>1481</v>
      </c>
      <c r="F26" s="1184">
        <f>G26+H26</f>
        <v>14.346</v>
      </c>
      <c r="G26" s="1184">
        <v>0</v>
      </c>
      <c r="H26" s="1184">
        <v>14.346</v>
      </c>
      <c r="I26" s="644">
        <f t="shared" si="0"/>
        <v>1</v>
      </c>
      <c r="J26" s="645">
        <v>0</v>
      </c>
      <c r="K26" s="646">
        <v>1</v>
      </c>
      <c r="L26" s="644">
        <f t="shared" si="1"/>
        <v>10</v>
      </c>
      <c r="M26" s="645">
        <v>4</v>
      </c>
      <c r="N26" s="644">
        <v>6</v>
      </c>
    </row>
    <row r="27" spans="1:14" s="266" customFormat="1" ht="33" customHeight="1" thickBot="1">
      <c r="A27" s="1168"/>
      <c r="B27" s="1170"/>
      <c r="C27" s="1233"/>
      <c r="D27" s="1181"/>
      <c r="E27" s="1170"/>
      <c r="F27" s="1185"/>
      <c r="G27" s="1185"/>
      <c r="H27" s="1185"/>
      <c r="I27" s="885">
        <f t="shared" si="0"/>
        <v>18.4</v>
      </c>
      <c r="J27" s="990">
        <v>0</v>
      </c>
      <c r="K27" s="968">
        <v>18.4</v>
      </c>
      <c r="L27" s="883">
        <f t="shared" si="1"/>
        <v>98</v>
      </c>
      <c r="M27" s="990">
        <v>42</v>
      </c>
      <c r="N27" s="883">
        <v>56</v>
      </c>
    </row>
    <row r="28" spans="1:14" s="266" customFormat="1" ht="12">
      <c r="A28" s="1167">
        <v>10</v>
      </c>
      <c r="B28" s="1169" t="s">
        <v>999</v>
      </c>
      <c r="C28" s="1182" t="s">
        <v>260</v>
      </c>
      <c r="D28" s="1180" t="s">
        <v>49</v>
      </c>
      <c r="E28" s="1169" t="s">
        <v>1482</v>
      </c>
      <c r="F28" s="1184">
        <f>G28+H28</f>
        <v>4.564</v>
      </c>
      <c r="G28" s="1184">
        <v>0</v>
      </c>
      <c r="H28" s="1184">
        <v>4.564</v>
      </c>
      <c r="I28" s="644">
        <f t="shared" si="0"/>
        <v>1</v>
      </c>
      <c r="J28" s="645">
        <v>0</v>
      </c>
      <c r="K28" s="646">
        <v>1</v>
      </c>
      <c r="L28" s="644">
        <f t="shared" si="1"/>
        <v>12</v>
      </c>
      <c r="M28" s="645">
        <v>7</v>
      </c>
      <c r="N28" s="644">
        <v>5</v>
      </c>
    </row>
    <row r="29" spans="1:14" s="266" customFormat="1" ht="28.5" customHeight="1" thickBot="1">
      <c r="A29" s="1168"/>
      <c r="B29" s="1170"/>
      <c r="C29" s="1183"/>
      <c r="D29" s="1181"/>
      <c r="E29" s="1170"/>
      <c r="F29" s="1185"/>
      <c r="G29" s="1185"/>
      <c r="H29" s="1185"/>
      <c r="I29" s="885">
        <f t="shared" si="0"/>
        <v>40.1</v>
      </c>
      <c r="J29" s="990">
        <v>0</v>
      </c>
      <c r="K29" s="968">
        <v>40.1</v>
      </c>
      <c r="L29" s="883">
        <f t="shared" si="1"/>
        <v>94</v>
      </c>
      <c r="M29" s="990">
        <v>45</v>
      </c>
      <c r="N29" s="883">
        <v>49</v>
      </c>
    </row>
    <row r="30" spans="1:14" s="266" customFormat="1" ht="12">
      <c r="A30" s="1228">
        <v>11</v>
      </c>
      <c r="B30" s="1189" t="s">
        <v>1162</v>
      </c>
      <c r="C30" s="1191" t="s">
        <v>1403</v>
      </c>
      <c r="D30" s="1195" t="s">
        <v>102</v>
      </c>
      <c r="E30" s="1199" t="s">
        <v>690</v>
      </c>
      <c r="F30" s="1186">
        <f>G30+H30</f>
        <v>14.47</v>
      </c>
      <c r="G30" s="1186">
        <v>14.47</v>
      </c>
      <c r="H30" s="1186"/>
      <c r="I30" s="502">
        <f>J30+K30</f>
        <v>1</v>
      </c>
      <c r="J30" s="534">
        <v>1</v>
      </c>
      <c r="K30" s="1094"/>
      <c r="L30" s="1079">
        <f>M30+N30</f>
        <v>27</v>
      </c>
      <c r="M30" s="534"/>
      <c r="N30" s="1079">
        <v>27</v>
      </c>
    </row>
    <row r="31" spans="1:14" s="266" customFormat="1" ht="18" customHeight="1">
      <c r="A31" s="1339"/>
      <c r="B31" s="1369"/>
      <c r="C31" s="1609"/>
      <c r="D31" s="1454"/>
      <c r="E31" s="1338"/>
      <c r="F31" s="1350"/>
      <c r="G31" s="1350"/>
      <c r="H31" s="1350"/>
      <c r="I31" s="1084">
        <f>J31+K31</f>
        <v>30.1</v>
      </c>
      <c r="J31" s="507">
        <v>30.1</v>
      </c>
      <c r="K31" s="1093"/>
      <c r="L31" s="1085">
        <f>M31+N31</f>
        <v>951</v>
      </c>
      <c r="M31" s="507"/>
      <c r="N31" s="1085">
        <v>951</v>
      </c>
    </row>
    <row r="32" spans="1:14" s="266" customFormat="1" ht="12" customHeight="1">
      <c r="A32" s="1339"/>
      <c r="B32" s="1369"/>
      <c r="C32" s="1378" t="s">
        <v>425</v>
      </c>
      <c r="D32" s="1384" t="s">
        <v>27</v>
      </c>
      <c r="E32" s="1384"/>
      <c r="F32" s="1371">
        <f>G32+H32</f>
        <v>0.817</v>
      </c>
      <c r="G32" s="1371">
        <v>0.817</v>
      </c>
      <c r="H32" s="1377"/>
      <c r="I32" s="509">
        <f>J32+K32</f>
        <v>1</v>
      </c>
      <c r="J32" s="510">
        <v>1</v>
      </c>
      <c r="K32" s="557"/>
      <c r="L32" s="557">
        <f>M32+N32</f>
        <v>3</v>
      </c>
      <c r="M32" s="511">
        <v>1</v>
      </c>
      <c r="N32" s="547">
        <v>2</v>
      </c>
    </row>
    <row r="33" spans="1:14" s="266" customFormat="1" ht="37.5" customHeight="1" thickBot="1">
      <c r="A33" s="1339"/>
      <c r="B33" s="1369"/>
      <c r="C33" s="1192"/>
      <c r="D33" s="1200"/>
      <c r="E33" s="1200"/>
      <c r="F33" s="1187"/>
      <c r="G33" s="1187"/>
      <c r="H33" s="1198"/>
      <c r="I33" s="1081">
        <f>J33+K33</f>
        <v>79.36</v>
      </c>
      <c r="J33" s="556">
        <v>79.36</v>
      </c>
      <c r="K33" s="1095"/>
      <c r="L33" s="1095">
        <f>M33+N33</f>
        <v>91</v>
      </c>
      <c r="M33" s="1095">
        <v>38</v>
      </c>
      <c r="N33" s="1080">
        <v>53</v>
      </c>
    </row>
    <row r="34" spans="1:14" s="822" customFormat="1" ht="12" customHeight="1" hidden="1" thickBot="1">
      <c r="A34" s="1339"/>
      <c r="B34" s="1369"/>
      <c r="C34" s="1378"/>
      <c r="D34" s="1199"/>
      <c r="E34" s="1384"/>
      <c r="F34" s="1371"/>
      <c r="G34" s="1371"/>
      <c r="H34" s="1371"/>
      <c r="I34" s="509"/>
      <c r="J34" s="510"/>
      <c r="K34" s="557"/>
      <c r="L34" s="557"/>
      <c r="M34" s="511"/>
      <c r="N34" s="547"/>
    </row>
    <row r="35" spans="1:14" s="822" customFormat="1" ht="24" customHeight="1" hidden="1">
      <c r="A35" s="1229"/>
      <c r="B35" s="1190"/>
      <c r="C35" s="1192"/>
      <c r="D35" s="1731"/>
      <c r="E35" s="1200"/>
      <c r="F35" s="1187"/>
      <c r="G35" s="1187"/>
      <c r="H35" s="1187"/>
      <c r="I35" s="1081"/>
      <c r="J35" s="556"/>
      <c r="K35" s="1095"/>
      <c r="L35" s="1095"/>
      <c r="M35" s="1095"/>
      <c r="N35" s="1080"/>
    </row>
    <row r="36" spans="1:14" s="266" customFormat="1" ht="12">
      <c r="A36" s="1736">
        <v>12</v>
      </c>
      <c r="B36" s="1169" t="s">
        <v>1166</v>
      </c>
      <c r="C36" s="1734" t="s">
        <v>1316</v>
      </c>
      <c r="D36" s="1180" t="s">
        <v>49</v>
      </c>
      <c r="E36" s="1173" t="s">
        <v>1164</v>
      </c>
      <c r="F36" s="1184">
        <f>G36+H36</f>
        <v>1.236</v>
      </c>
      <c r="G36" s="1184">
        <v>1.236</v>
      </c>
      <c r="H36" s="1178"/>
      <c r="I36" s="882"/>
      <c r="J36" s="882"/>
      <c r="K36" s="882"/>
      <c r="L36" s="882"/>
      <c r="M36" s="913"/>
      <c r="N36" s="882"/>
    </row>
    <row r="37" spans="1:14" s="266" customFormat="1" ht="12.75" thickBot="1">
      <c r="A37" s="1737"/>
      <c r="B37" s="1170"/>
      <c r="C37" s="1735"/>
      <c r="D37" s="1181"/>
      <c r="E37" s="1174"/>
      <c r="F37" s="1185"/>
      <c r="G37" s="1185"/>
      <c r="H37" s="1179"/>
      <c r="I37" s="883"/>
      <c r="J37" s="883"/>
      <c r="K37" s="883"/>
      <c r="L37" s="883"/>
      <c r="M37" s="915"/>
      <c r="N37" s="883"/>
    </row>
    <row r="38" spans="1:14" s="266" customFormat="1" ht="12">
      <c r="A38" s="1740">
        <v>13</v>
      </c>
      <c r="B38" s="1169" t="s">
        <v>1158</v>
      </c>
      <c r="C38" s="1182" t="s">
        <v>586</v>
      </c>
      <c r="D38" s="1180" t="s">
        <v>102</v>
      </c>
      <c r="E38" s="1173" t="s">
        <v>1407</v>
      </c>
      <c r="F38" s="1176">
        <f>G38+H38</f>
        <v>16.117</v>
      </c>
      <c r="G38" s="1176">
        <v>16.117</v>
      </c>
      <c r="H38" s="1178">
        <v>0</v>
      </c>
      <c r="I38" s="644">
        <f>J38+K38</f>
        <v>1</v>
      </c>
      <c r="J38" s="882">
        <v>1</v>
      </c>
      <c r="K38" s="913">
        <v>0</v>
      </c>
      <c r="L38" s="644">
        <f>M38+N38</f>
        <v>38</v>
      </c>
      <c r="M38" s="989">
        <v>22</v>
      </c>
      <c r="N38" s="882">
        <v>16</v>
      </c>
    </row>
    <row r="39" spans="1:14" s="266" customFormat="1" ht="12.75" thickBot="1">
      <c r="A39" s="1741"/>
      <c r="B39" s="1164"/>
      <c r="C39" s="1332"/>
      <c r="D39" s="1651"/>
      <c r="E39" s="1166"/>
      <c r="F39" s="1188"/>
      <c r="G39" s="1188"/>
      <c r="H39" s="1161"/>
      <c r="I39" s="1082">
        <f>J39+K39</f>
        <v>18.9</v>
      </c>
      <c r="J39" s="1082">
        <v>18.9</v>
      </c>
      <c r="K39" s="1087">
        <v>0</v>
      </c>
      <c r="L39" s="1083">
        <f>M39+N39</f>
        <v>1511</v>
      </c>
      <c r="M39" s="605">
        <v>691</v>
      </c>
      <c r="N39" s="1083">
        <v>820</v>
      </c>
    </row>
    <row r="40" spans="1:17" s="266" customFormat="1" ht="12">
      <c r="A40" s="1228">
        <v>14</v>
      </c>
      <c r="B40" s="1189" t="s">
        <v>1286</v>
      </c>
      <c r="C40" s="1191" t="s">
        <v>585</v>
      </c>
      <c r="D40" s="1195" t="s">
        <v>509</v>
      </c>
      <c r="E40" s="1199" t="s">
        <v>691</v>
      </c>
      <c r="F40" s="1186">
        <f>G40+H40</f>
        <v>47.713</v>
      </c>
      <c r="G40" s="1186">
        <f>G42+G43</f>
        <v>5.905</v>
      </c>
      <c r="H40" s="1186">
        <f>H42+H43</f>
        <v>41.808</v>
      </c>
      <c r="I40" s="1079">
        <f>J40+K40</f>
        <v>4</v>
      </c>
      <c r="J40" s="534">
        <v>0</v>
      </c>
      <c r="K40" s="1094">
        <v>4</v>
      </c>
      <c r="L40" s="1079">
        <f>M40+N40</f>
        <v>80</v>
      </c>
      <c r="M40" s="534">
        <v>62</v>
      </c>
      <c r="N40" s="1079">
        <v>18</v>
      </c>
      <c r="Q40" s="266">
        <v>0</v>
      </c>
    </row>
    <row r="41" spans="1:14" s="266" customFormat="1" ht="53.25" customHeight="1">
      <c r="A41" s="1339"/>
      <c r="B41" s="1369"/>
      <c r="C41" s="1609"/>
      <c r="D41" s="1454"/>
      <c r="E41" s="1338"/>
      <c r="F41" s="1350"/>
      <c r="G41" s="1350"/>
      <c r="H41" s="1350"/>
      <c r="I41" s="1085">
        <f>J41+K41</f>
        <v>149.27</v>
      </c>
      <c r="J41" s="507">
        <v>0</v>
      </c>
      <c r="K41" s="1093">
        <v>149.27</v>
      </c>
      <c r="L41" s="1085">
        <f>M41+N41</f>
        <v>1487</v>
      </c>
      <c r="M41" s="507">
        <v>1271</v>
      </c>
      <c r="N41" s="1085">
        <v>216</v>
      </c>
    </row>
    <row r="42" spans="1:14" s="266" customFormat="1" ht="24.75" customHeight="1">
      <c r="A42" s="1339"/>
      <c r="B42" s="1369"/>
      <c r="C42" s="1086" t="s">
        <v>4</v>
      </c>
      <c r="D42" s="513" t="s">
        <v>102</v>
      </c>
      <c r="E42" s="1089" t="s">
        <v>587</v>
      </c>
      <c r="F42" s="572">
        <f>G42+H42</f>
        <v>18.14</v>
      </c>
      <c r="G42" s="572">
        <v>0.55</v>
      </c>
      <c r="H42" s="572">
        <v>17.59</v>
      </c>
      <c r="I42" s="1091"/>
      <c r="J42" s="525"/>
      <c r="K42" s="1092"/>
      <c r="L42" s="1091"/>
      <c r="M42" s="525"/>
      <c r="N42" s="1091" t="s">
        <v>593</v>
      </c>
    </row>
    <row r="43" spans="1:14" s="266" customFormat="1" ht="21.75" customHeight="1">
      <c r="A43" s="1339"/>
      <c r="B43" s="1369"/>
      <c r="C43" s="1086"/>
      <c r="D43" s="566" t="s">
        <v>27</v>
      </c>
      <c r="E43" s="1090" t="s">
        <v>692</v>
      </c>
      <c r="F43" s="1096">
        <f>G43+H43</f>
        <v>29.573</v>
      </c>
      <c r="G43" s="1096">
        <v>5.355</v>
      </c>
      <c r="H43" s="1096">
        <v>24.218</v>
      </c>
      <c r="I43" s="1091"/>
      <c r="J43" s="525"/>
      <c r="K43" s="1092"/>
      <c r="L43" s="1091"/>
      <c r="M43" s="525"/>
      <c r="N43" s="1091"/>
    </row>
    <row r="44" spans="1:14" s="822" customFormat="1" ht="12" customHeight="1">
      <c r="A44" s="1339"/>
      <c r="B44" s="1369"/>
      <c r="C44" s="1745" t="s">
        <v>1493</v>
      </c>
      <c r="D44" s="1381" t="s">
        <v>49</v>
      </c>
      <c r="E44" s="1381"/>
      <c r="F44" s="1380">
        <f>G44+H44</f>
        <v>2.029</v>
      </c>
      <c r="G44" s="1380"/>
      <c r="H44" s="1380">
        <v>2.029</v>
      </c>
      <c r="I44" s="1097">
        <f>J44+K44</f>
        <v>0</v>
      </c>
      <c r="J44" s="1097"/>
      <c r="K44" s="1097"/>
      <c r="L44" s="1097">
        <f>M44+N44</f>
        <v>0</v>
      </c>
      <c r="M44" s="1097"/>
      <c r="N44" s="1097"/>
    </row>
    <row r="45" spans="1:14" s="822" customFormat="1" ht="24" customHeight="1" thickBot="1">
      <c r="A45" s="1229"/>
      <c r="B45" s="1190"/>
      <c r="C45" s="1746"/>
      <c r="D45" s="1747"/>
      <c r="E45" s="1748"/>
      <c r="F45" s="1744"/>
      <c r="G45" s="1744"/>
      <c r="H45" s="1744"/>
      <c r="I45" s="559">
        <f>J45+K45</f>
        <v>0</v>
      </c>
      <c r="J45" s="559"/>
      <c r="K45" s="1088"/>
      <c r="L45" s="1088">
        <f>M45+N45</f>
        <v>0</v>
      </c>
      <c r="M45" s="1088"/>
      <c r="N45" s="1088"/>
    </row>
    <row r="46" spans="1:14" s="272" customFormat="1" ht="12">
      <c r="A46" s="1738"/>
      <c r="B46" s="1100"/>
      <c r="C46" s="1269" t="s">
        <v>229</v>
      </c>
      <c r="D46" s="1306"/>
      <c r="E46" s="1306"/>
      <c r="F46" s="1732">
        <f>G46+H46</f>
        <v>318.12699999999995</v>
      </c>
      <c r="G46" s="1288">
        <f>G8+G12+G14+G16+G18+G20+G22+G24+G26+G28+G40+G44+G38+G30+G32+G34+G36</f>
        <v>150.829</v>
      </c>
      <c r="H46" s="1288">
        <f>H8+H12+H14+H16+H18+H20+H22+H24+H26+H28+H40+H44+H38+H30+H32+H34+H36</f>
        <v>167.29799999999997</v>
      </c>
      <c r="I46" s="441">
        <f>J46+K46</f>
        <v>33</v>
      </c>
      <c r="J46" s="441">
        <f>J8+J12+J14+J16+J18+J20+J22+J24+J26+J28+J40+J38+J30+J32+J34+J36</f>
        <v>22</v>
      </c>
      <c r="K46" s="441">
        <f>K8+K12+K14+K16+K18+K20+K22+K24+K26+K28+K40+K38+K30+K32+K34+K36</f>
        <v>11</v>
      </c>
      <c r="L46" s="441">
        <f>L8+L12+L14+L16+L18+L20+L22+L24+L26+L28+L40+L38+L30+L32+L36</f>
        <v>455</v>
      </c>
      <c r="M46" s="441">
        <f>M8+M12+M14+M16+M18+M20+M22+M24+M26+M28+M40+M38+M30+M32+M34+M36</f>
        <v>307</v>
      </c>
      <c r="N46" s="441">
        <f>N8+N12+N14+N16+N18+N20+N22+N24+N26+N28+N40+N38+N30+N32+N34+N36</f>
        <v>148</v>
      </c>
    </row>
    <row r="47" spans="1:14" s="272" customFormat="1" ht="12.75" thickBot="1">
      <c r="A47" s="1739"/>
      <c r="B47" s="1101"/>
      <c r="C47" s="1271"/>
      <c r="D47" s="1253"/>
      <c r="E47" s="1253"/>
      <c r="F47" s="1733"/>
      <c r="G47" s="1255"/>
      <c r="H47" s="1255"/>
      <c r="I47" s="791">
        <f>J47+K47</f>
        <v>1354.47</v>
      </c>
      <c r="J47" s="791">
        <f>J9+J13+J15+J17+J19+J21+J23+J25+J27+J29+J41+J39+J31+J33+J35+J37</f>
        <v>727.93</v>
      </c>
      <c r="K47" s="791">
        <f>K9+K13+K15+K17+K19+K21+K23+K25+K27+K29+K41+K39+K31+K33+K35+K37</f>
        <v>626.5400000000001</v>
      </c>
      <c r="L47" s="790">
        <f>L9+L13+L15+L17+L19+L21+L23+L25+L27+L29+L41+L39+L31+L33+L37</f>
        <v>9032</v>
      </c>
      <c r="M47" s="275">
        <f>M9+M13+M15+M17+M19+M21+M23+M25+M27+M29+M41+M39+M31+M33+M35+M37</f>
        <v>6110</v>
      </c>
      <c r="N47" s="275">
        <f>N9+N13+N15+N17+N19+N21+N23+N25+N27+N29+N41+N39+N31+N33+N35+N37</f>
        <v>2922</v>
      </c>
    </row>
    <row r="48" spans="1:10" s="392" customFormat="1" ht="12.75" customHeight="1" hidden="1" thickBot="1">
      <c r="A48" s="450"/>
      <c r="B48" s="1689"/>
      <c r="C48" s="1150" t="s">
        <v>454</v>
      </c>
      <c r="D48" s="453" t="s">
        <v>450</v>
      </c>
      <c r="E48" s="1098"/>
      <c r="F48" s="1099">
        <f>SUMIF($D$8:$D$29,"=I",F8:F29)</f>
        <v>0</v>
      </c>
      <c r="G48" s="1099">
        <f>SUMIF($D$8:$D$29,"=I",G8:G29)</f>
        <v>0</v>
      </c>
      <c r="H48" s="1099">
        <f>SUMIF($D$8:$D$29,"=I",H8:H29)</f>
        <v>0</v>
      </c>
      <c r="J48" s="271" t="e">
        <f>J10+J14+J16+J18+J20+J22+J24+J26+J28+J40+J42+J30+#REF!+J36</f>
        <v>#REF!</v>
      </c>
    </row>
    <row r="49" spans="1:10" s="392" customFormat="1" ht="12.75" customHeight="1" hidden="1">
      <c r="A49" s="450"/>
      <c r="B49" s="1689"/>
      <c r="C49" s="1151"/>
      <c r="D49" s="455" t="s">
        <v>100</v>
      </c>
      <c r="E49" s="456"/>
      <c r="F49" s="461">
        <f>SUMIF($D$8:$D$29,"=II",F8:F29)</f>
        <v>0</v>
      </c>
      <c r="G49" s="461">
        <f>SUMIF($D$8:$D$29,"=II",G8:G29)</f>
        <v>0</v>
      </c>
      <c r="H49" s="461">
        <f>SUMIF($D$8:$D$29,"=II",H8:H29)</f>
        <v>0</v>
      </c>
      <c r="J49" s="271" t="e">
        <f>J11+J15+J17+J19+J21+J23+J25+J27+J29+J41+J43+J31+#REF!+J37</f>
        <v>#REF!</v>
      </c>
    </row>
    <row r="50" spans="1:8" s="392" customFormat="1" ht="12.75">
      <c r="A50" s="450"/>
      <c r="B50" s="450"/>
      <c r="C50" s="1151"/>
      <c r="D50" s="458" t="s">
        <v>102</v>
      </c>
      <c r="E50" s="456"/>
      <c r="F50" s="457">
        <f>SUMIF($D$8:$D$45,"=III",F8:F45)</f>
        <v>56.727000000000004</v>
      </c>
      <c r="G50" s="457">
        <f>SUMIF($D$8:$D$45,"=III",G8:G45)</f>
        <v>39.137</v>
      </c>
      <c r="H50" s="457">
        <f>SUMIF($D$8:$D$45,"=III",H8:H45)</f>
        <v>17.59</v>
      </c>
    </row>
    <row r="51" spans="1:8" s="392" customFormat="1" ht="12.75">
      <c r="A51" s="450"/>
      <c r="B51" s="450"/>
      <c r="C51" s="1151"/>
      <c r="D51" s="459" t="s">
        <v>27</v>
      </c>
      <c r="E51" s="460"/>
      <c r="F51" s="457">
        <f>SUMIF($D$8:$D$45,"=IV",F8:F45)</f>
        <v>142.60500000000002</v>
      </c>
      <c r="G51" s="457">
        <f>SUMIF($D$8:$D$45,"=IV",G8:G45)</f>
        <v>104.06400000000001</v>
      </c>
      <c r="H51" s="457">
        <f>SUMIF($D$8:$D$45,"=IV",H8:H45)</f>
        <v>38.541</v>
      </c>
    </row>
    <row r="52" spans="1:8" ht="12.75">
      <c r="A52" s="152"/>
      <c r="B52" s="154"/>
      <c r="C52" s="1151"/>
      <c r="D52" s="70" t="s">
        <v>49</v>
      </c>
      <c r="E52" s="64"/>
      <c r="F52" s="101">
        <f>SUMIF($D$8:$D$45,"=V",F8:F45)</f>
        <v>118.795</v>
      </c>
      <c r="G52" s="101">
        <f>SUMIF($D$8:$D$45,"=V",G8:G45)</f>
        <v>7.627999999999999</v>
      </c>
      <c r="H52" s="101">
        <f>SUMIF($D$8:$D$45,"=V",H8:H45)</f>
        <v>111.167</v>
      </c>
    </row>
    <row r="53" spans="1:8" ht="12.75">
      <c r="A53" s="31"/>
      <c r="C53" s="8"/>
      <c r="D53" s="8"/>
      <c r="E53" s="4"/>
      <c r="F53" s="52"/>
      <c r="G53" s="52"/>
      <c r="H53" s="52"/>
    </row>
    <row r="54" spans="3:5" ht="12.75">
      <c r="C54" s="6"/>
      <c r="D54" s="6"/>
      <c r="E54" s="4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</sheetData>
  <sheetProtection/>
  <mergeCells count="157">
    <mergeCell ref="A40:A45"/>
    <mergeCell ref="B40:B45"/>
    <mergeCell ref="C44:C45"/>
    <mergeCell ref="D44:D45"/>
    <mergeCell ref="E44:E45"/>
    <mergeCell ref="F44:F45"/>
    <mergeCell ref="G44:G45"/>
    <mergeCell ref="H44:H45"/>
    <mergeCell ref="C40:C41"/>
    <mergeCell ref="G32:G33"/>
    <mergeCell ref="H30:H31"/>
    <mergeCell ref="H38:H39"/>
    <mergeCell ref="G30:G31"/>
    <mergeCell ref="H32:H33"/>
    <mergeCell ref="D12:D13"/>
    <mergeCell ref="B24:B25"/>
    <mergeCell ref="B18:B19"/>
    <mergeCell ref="C5:C7"/>
    <mergeCell ref="I5:K5"/>
    <mergeCell ref="E18:E19"/>
    <mergeCell ref="D14:D15"/>
    <mergeCell ref="A20:A21"/>
    <mergeCell ref="C24:C25"/>
    <mergeCell ref="C18:C19"/>
    <mergeCell ref="A8:A11"/>
    <mergeCell ref="B8:B11"/>
    <mergeCell ref="A14:A15"/>
    <mergeCell ref="C20:C21"/>
    <mergeCell ref="B16:B17"/>
    <mergeCell ref="B22:B23"/>
    <mergeCell ref="G5:H5"/>
    <mergeCell ref="A5:A7"/>
    <mergeCell ref="C14:C15"/>
    <mergeCell ref="A12:A13"/>
    <mergeCell ref="B14:B15"/>
    <mergeCell ref="B12:B13"/>
    <mergeCell ref="B5:B7"/>
    <mergeCell ref="E14:E15"/>
    <mergeCell ref="E12:E13"/>
    <mergeCell ref="G12:G13"/>
    <mergeCell ref="F5:F7"/>
    <mergeCell ref="L5:N5"/>
    <mergeCell ref="F16:F17"/>
    <mergeCell ref="H8:H9"/>
    <mergeCell ref="H12:H13"/>
    <mergeCell ref="L6:L7"/>
    <mergeCell ref="M6:N6"/>
    <mergeCell ref="I6:I7"/>
    <mergeCell ref="F8:F9"/>
    <mergeCell ref="H6:H7"/>
    <mergeCell ref="H16:H17"/>
    <mergeCell ref="E16:E17"/>
    <mergeCell ref="A1:N1"/>
    <mergeCell ref="A2:N2"/>
    <mergeCell ref="A3:N3"/>
    <mergeCell ref="E5:E7"/>
    <mergeCell ref="J6:K6"/>
    <mergeCell ref="G6:G7"/>
    <mergeCell ref="D5:D7"/>
    <mergeCell ref="C8:C9"/>
    <mergeCell ref="E8:E9"/>
    <mergeCell ref="G8:G9"/>
    <mergeCell ref="F12:F13"/>
    <mergeCell ref="C12:C13"/>
    <mergeCell ref="C16:C17"/>
    <mergeCell ref="A18:A19"/>
    <mergeCell ref="A16:A17"/>
    <mergeCell ref="D16:D17"/>
    <mergeCell ref="D18:D19"/>
    <mergeCell ref="D8:D9"/>
    <mergeCell ref="A26:A27"/>
    <mergeCell ref="B26:B27"/>
    <mergeCell ref="C26:C27"/>
    <mergeCell ref="A38:A39"/>
    <mergeCell ref="B28:B29"/>
    <mergeCell ref="B38:B39"/>
    <mergeCell ref="C38:C39"/>
    <mergeCell ref="C48:C52"/>
    <mergeCell ref="C22:C23"/>
    <mergeCell ref="B48:B49"/>
    <mergeCell ref="A36:A37"/>
    <mergeCell ref="C30:C31"/>
    <mergeCell ref="A24:A25"/>
    <mergeCell ref="A22:A23"/>
    <mergeCell ref="A46:A47"/>
    <mergeCell ref="C46:C47"/>
    <mergeCell ref="A28:A29"/>
    <mergeCell ref="D46:D47"/>
    <mergeCell ref="B20:B21"/>
    <mergeCell ref="D22:D23"/>
    <mergeCell ref="D20:D21"/>
    <mergeCell ref="D30:D31"/>
    <mergeCell ref="D38:D39"/>
    <mergeCell ref="C28:C29"/>
    <mergeCell ref="D24:D25"/>
    <mergeCell ref="C32:C33"/>
    <mergeCell ref="D40:D41"/>
    <mergeCell ref="F38:F39"/>
    <mergeCell ref="F24:F25"/>
    <mergeCell ref="E26:E27"/>
    <mergeCell ref="D36:D37"/>
    <mergeCell ref="D26:D27"/>
    <mergeCell ref="F26:F27"/>
    <mergeCell ref="F32:F33"/>
    <mergeCell ref="E32:E33"/>
    <mergeCell ref="E28:E29"/>
    <mergeCell ref="D32:D33"/>
    <mergeCell ref="E40:E41"/>
    <mergeCell ref="E30:E31"/>
    <mergeCell ref="B36:B37"/>
    <mergeCell ref="D28:D29"/>
    <mergeCell ref="C36:C37"/>
    <mergeCell ref="H40:H41"/>
    <mergeCell ref="H36:H37"/>
    <mergeCell ref="G40:G41"/>
    <mergeCell ref="G38:G39"/>
    <mergeCell ref="F36:F37"/>
    <mergeCell ref="E46:E47"/>
    <mergeCell ref="H46:H47"/>
    <mergeCell ref="G34:G35"/>
    <mergeCell ref="F34:F35"/>
    <mergeCell ref="F46:F47"/>
    <mergeCell ref="G46:G47"/>
    <mergeCell ref="G36:G37"/>
    <mergeCell ref="F40:F41"/>
    <mergeCell ref="E38:E39"/>
    <mergeCell ref="E36:E37"/>
    <mergeCell ref="F18:F19"/>
    <mergeCell ref="F28:F29"/>
    <mergeCell ref="H18:H19"/>
    <mergeCell ref="G22:G23"/>
    <mergeCell ref="F20:F21"/>
    <mergeCell ref="G26:G27"/>
    <mergeCell ref="G28:G29"/>
    <mergeCell ref="G18:G19"/>
    <mergeCell ref="H20:H21"/>
    <mergeCell ref="H26:H27"/>
    <mergeCell ref="H14:H15"/>
    <mergeCell ref="E20:E21"/>
    <mergeCell ref="E24:E25"/>
    <mergeCell ref="G24:G25"/>
    <mergeCell ref="G20:G21"/>
    <mergeCell ref="F14:F15"/>
    <mergeCell ref="G16:G17"/>
    <mergeCell ref="G14:G15"/>
    <mergeCell ref="E22:E23"/>
    <mergeCell ref="F22:F23"/>
    <mergeCell ref="H22:H23"/>
    <mergeCell ref="H24:H25"/>
    <mergeCell ref="H28:H29"/>
    <mergeCell ref="F30:F31"/>
    <mergeCell ref="H34:H35"/>
    <mergeCell ref="A30:A35"/>
    <mergeCell ref="B30:B35"/>
    <mergeCell ref="C34:C35"/>
    <mergeCell ref="D34:D35"/>
    <mergeCell ref="E34:E35"/>
  </mergeCells>
  <printOptions/>
  <pageMargins left="0.5511811023622047" right="0.5511811023622047" top="0" bottom="0.7874015748031497" header="0.35433070866141736" footer="0.1968503937007874"/>
  <pageSetup firstPageNumber="27" useFirstPageNumber="1" fitToHeight="2" fitToWidth="1" horizontalDpi="600" verticalDpi="600" orientation="landscape" paperSize="9" scale="83" r:id="rId1"/>
  <headerFooter alignWithMargins="0">
    <oddFooter>&amp;CСтраница &amp;P</oddFooter>
  </headerFooter>
  <rowBreaks count="3" manualBreakCount="3">
    <brk id="22" max="255" man="1"/>
    <brk id="35" max="16" man="1"/>
    <brk id="36" max="255" man="1"/>
  </rowBreaks>
  <colBreaks count="2" manualBreakCount="2">
    <brk id="1" max="51" man="1"/>
    <brk id="1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97"/>
  <sheetViews>
    <sheetView view="pageBreakPreview" zoomScaleSheetLayoutView="100" zoomScalePageLayoutView="0" workbookViewId="0" topLeftCell="A1">
      <selection activeCell="O1" sqref="O1:Z16384"/>
    </sheetView>
  </sheetViews>
  <sheetFormatPr defaultColWidth="9.00390625" defaultRowHeight="12.75"/>
  <cols>
    <col min="1" max="1" width="4.25390625" style="0" customWidth="1"/>
    <col min="2" max="2" width="12.75390625" style="53" customWidth="1"/>
    <col min="3" max="3" width="35.125" style="0" customWidth="1"/>
    <col min="4" max="4" width="9.25390625" style="0" customWidth="1"/>
    <col min="5" max="5" width="8.75390625" style="0" customWidth="1"/>
    <col min="6" max="6" width="11.00390625" style="0" customWidth="1"/>
    <col min="7" max="7" width="7.875" style="0" customWidth="1"/>
    <col min="8" max="8" width="8.75390625" style="0" customWidth="1"/>
    <col min="9" max="9" width="6.62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1233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1418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spans="1:14" ht="10.5" customHeight="1" thickBot="1">
      <c r="A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2.75" customHeight="1" thickBot="1">
      <c r="A5" s="1503" t="s">
        <v>9</v>
      </c>
      <c r="B5" s="1203" t="s">
        <v>735</v>
      </c>
      <c r="C5" s="1504" t="s">
        <v>455</v>
      </c>
      <c r="D5" s="1514" t="s">
        <v>231</v>
      </c>
      <c r="E5" s="1534" t="s">
        <v>622</v>
      </c>
      <c r="F5" s="1514" t="s">
        <v>623</v>
      </c>
      <c r="G5" s="1504" t="s">
        <v>4</v>
      </c>
      <c r="H5" s="1504"/>
      <c r="I5" s="1503" t="s">
        <v>458</v>
      </c>
      <c r="J5" s="1504"/>
      <c r="K5" s="1505"/>
      <c r="L5" s="1541" t="s">
        <v>19</v>
      </c>
      <c r="M5" s="1542"/>
      <c r="N5" s="1513"/>
    </row>
    <row r="6" spans="1:14" s="1" customFormat="1" ht="13.5" thickBot="1">
      <c r="A6" s="1532"/>
      <c r="B6" s="1204"/>
      <c r="C6" s="1533"/>
      <c r="D6" s="1515"/>
      <c r="E6" s="1535"/>
      <c r="F6" s="1515"/>
      <c r="G6" s="1514" t="s">
        <v>456</v>
      </c>
      <c r="H6" s="1470" t="s">
        <v>457</v>
      </c>
      <c r="I6" s="1516" t="s">
        <v>5</v>
      </c>
      <c r="J6" s="1518" t="s">
        <v>4</v>
      </c>
      <c r="K6" s="1519"/>
      <c r="L6" s="1516" t="s">
        <v>5</v>
      </c>
      <c r="M6" s="1512" t="s">
        <v>4</v>
      </c>
      <c r="N6" s="1513"/>
    </row>
    <row r="7" spans="1:14" s="1" customFormat="1" ht="13.5" thickBot="1">
      <c r="A7" s="1694"/>
      <c r="B7" s="1205"/>
      <c r="C7" s="1761"/>
      <c r="D7" s="1697"/>
      <c r="E7" s="1693"/>
      <c r="F7" s="1697"/>
      <c r="G7" s="1697"/>
      <c r="H7" s="1711"/>
      <c r="I7" s="1696"/>
      <c r="J7" s="228" t="s">
        <v>6</v>
      </c>
      <c r="K7" s="229" t="s">
        <v>7</v>
      </c>
      <c r="L7" s="1696"/>
      <c r="M7" s="229" t="s">
        <v>6</v>
      </c>
      <c r="N7" s="229" t="s">
        <v>7</v>
      </c>
    </row>
    <row r="8" spans="1:14" s="266" customFormat="1" ht="12.75">
      <c r="A8" s="1492">
        <v>1</v>
      </c>
      <c r="B8" s="1257" t="s">
        <v>893</v>
      </c>
      <c r="C8" s="1499" t="s">
        <v>191</v>
      </c>
      <c r="D8" s="1490" t="s">
        <v>27</v>
      </c>
      <c r="E8" s="1490" t="s">
        <v>1314</v>
      </c>
      <c r="F8" s="1472">
        <f>G8+H8</f>
        <v>12.061</v>
      </c>
      <c r="G8" s="1467">
        <v>12.061</v>
      </c>
      <c r="H8" s="1762">
        <v>0</v>
      </c>
      <c r="I8" s="356">
        <f>J8+K8</f>
        <v>1</v>
      </c>
      <c r="J8" s="357">
        <v>1</v>
      </c>
      <c r="K8" s="358">
        <v>0</v>
      </c>
      <c r="L8" s="356">
        <f>M8+N8</f>
        <v>16</v>
      </c>
      <c r="M8" s="357">
        <v>15</v>
      </c>
      <c r="N8" s="356">
        <v>1</v>
      </c>
    </row>
    <row r="9" spans="1:14" s="266" customFormat="1" ht="13.5" thickBot="1">
      <c r="A9" s="1493"/>
      <c r="B9" s="1261"/>
      <c r="C9" s="1500"/>
      <c r="D9" s="1491"/>
      <c r="E9" s="1491"/>
      <c r="F9" s="1473"/>
      <c r="G9" s="1468"/>
      <c r="H9" s="1763"/>
      <c r="I9" s="957">
        <f>J9+K9</f>
        <v>42.2</v>
      </c>
      <c r="J9" s="487">
        <v>42.2</v>
      </c>
      <c r="K9" s="980">
        <v>0</v>
      </c>
      <c r="L9" s="955">
        <f>M9+N9</f>
        <v>359</v>
      </c>
      <c r="M9" s="360">
        <v>350</v>
      </c>
      <c r="N9" s="955">
        <v>9</v>
      </c>
    </row>
    <row r="10" spans="1:14" s="266" customFormat="1" ht="12.75">
      <c r="A10" s="1704">
        <v>2</v>
      </c>
      <c r="B10" s="1760" t="s">
        <v>1032</v>
      </c>
      <c r="C10" s="1708" t="s">
        <v>275</v>
      </c>
      <c r="D10" s="1758" t="s">
        <v>102</v>
      </c>
      <c r="E10" s="1702" t="s">
        <v>0</v>
      </c>
      <c r="F10" s="1678">
        <f>G10+H10</f>
        <v>20.24</v>
      </c>
      <c r="G10" s="1678">
        <v>20.24</v>
      </c>
      <c r="H10" s="1683">
        <v>0</v>
      </c>
      <c r="I10" s="710">
        <f aca="true" t="shared" si="0" ref="I10:I61">J10+K10</f>
        <v>1</v>
      </c>
      <c r="J10" s="711">
        <v>1</v>
      </c>
      <c r="K10" s="712">
        <v>0</v>
      </c>
      <c r="L10" s="710">
        <f aca="true" t="shared" si="1" ref="L10:L63">M10+N10</f>
        <v>24</v>
      </c>
      <c r="M10" s="711">
        <v>23</v>
      </c>
      <c r="N10" s="710">
        <v>1</v>
      </c>
    </row>
    <row r="11" spans="1:14" s="266" customFormat="1" ht="13.5" thickBot="1">
      <c r="A11" s="1705"/>
      <c r="B11" s="1679"/>
      <c r="C11" s="1709"/>
      <c r="D11" s="1759"/>
      <c r="E11" s="1703"/>
      <c r="F11" s="1682"/>
      <c r="G11" s="1682"/>
      <c r="H11" s="1684"/>
      <c r="I11" s="959">
        <f t="shared" si="0"/>
        <v>66.3</v>
      </c>
      <c r="J11" s="763">
        <v>66.3</v>
      </c>
      <c r="K11" s="714">
        <v>0</v>
      </c>
      <c r="L11" s="975">
        <f t="shared" si="1"/>
        <v>461</v>
      </c>
      <c r="M11" s="713">
        <v>450</v>
      </c>
      <c r="N11" s="975">
        <v>11</v>
      </c>
    </row>
    <row r="12" spans="1:14" s="266" customFormat="1" ht="12.75">
      <c r="A12" s="1492">
        <v>3</v>
      </c>
      <c r="B12" s="1472" t="s">
        <v>1033</v>
      </c>
      <c r="C12" s="1499" t="s">
        <v>276</v>
      </c>
      <c r="D12" s="1490" t="s">
        <v>27</v>
      </c>
      <c r="E12" s="1490" t="s">
        <v>600</v>
      </c>
      <c r="F12" s="1472">
        <f>G12+H12</f>
        <v>47.5</v>
      </c>
      <c r="G12" s="1476">
        <v>22.77</v>
      </c>
      <c r="H12" s="1476">
        <v>24.73</v>
      </c>
      <c r="I12" s="356">
        <f t="shared" si="0"/>
        <v>2</v>
      </c>
      <c r="J12" s="355">
        <v>2</v>
      </c>
      <c r="K12" s="358">
        <v>0</v>
      </c>
      <c r="L12" s="356">
        <f t="shared" si="1"/>
        <v>42</v>
      </c>
      <c r="M12" s="355">
        <v>37</v>
      </c>
      <c r="N12" s="356">
        <v>5</v>
      </c>
    </row>
    <row r="13" spans="1:14" s="266" customFormat="1" ht="13.5" thickBot="1">
      <c r="A13" s="1493"/>
      <c r="B13" s="1473"/>
      <c r="C13" s="1500"/>
      <c r="D13" s="1491"/>
      <c r="E13" s="1491"/>
      <c r="F13" s="1473"/>
      <c r="G13" s="1477"/>
      <c r="H13" s="1477"/>
      <c r="I13" s="955">
        <f t="shared" si="0"/>
        <v>72.74</v>
      </c>
      <c r="J13" s="359">
        <v>72.74</v>
      </c>
      <c r="K13" s="980">
        <v>0</v>
      </c>
      <c r="L13" s="955">
        <f t="shared" si="1"/>
        <v>590</v>
      </c>
      <c r="M13" s="359">
        <v>545</v>
      </c>
      <c r="N13" s="955">
        <v>45</v>
      </c>
    </row>
    <row r="14" spans="1:14" s="266" customFormat="1" ht="12.75">
      <c r="A14" s="1492">
        <v>4</v>
      </c>
      <c r="B14" s="1472" t="s">
        <v>1034</v>
      </c>
      <c r="C14" s="1499" t="s">
        <v>277</v>
      </c>
      <c r="D14" s="1490" t="s">
        <v>27</v>
      </c>
      <c r="E14" s="1472" t="s">
        <v>1335</v>
      </c>
      <c r="F14" s="1472">
        <f>G14+H14</f>
        <v>12.353</v>
      </c>
      <c r="G14" s="1476">
        <v>2.038</v>
      </c>
      <c r="H14" s="1476">
        <v>10.315</v>
      </c>
      <c r="I14" s="356">
        <f t="shared" si="0"/>
        <v>0</v>
      </c>
      <c r="J14" s="357">
        <v>0</v>
      </c>
      <c r="K14" s="358">
        <v>0</v>
      </c>
      <c r="L14" s="356">
        <f t="shared" si="1"/>
        <v>10</v>
      </c>
      <c r="M14" s="357">
        <v>9</v>
      </c>
      <c r="N14" s="356">
        <v>1</v>
      </c>
    </row>
    <row r="15" spans="1:14" s="266" customFormat="1" ht="13.5" thickBot="1">
      <c r="A15" s="1493"/>
      <c r="B15" s="1473"/>
      <c r="C15" s="1500"/>
      <c r="D15" s="1491"/>
      <c r="E15" s="1473"/>
      <c r="F15" s="1473"/>
      <c r="G15" s="1477"/>
      <c r="H15" s="1477"/>
      <c r="I15" s="955">
        <f t="shared" si="0"/>
        <v>0</v>
      </c>
      <c r="J15" s="360">
        <v>0</v>
      </c>
      <c r="K15" s="980">
        <v>0</v>
      </c>
      <c r="L15" s="955">
        <f t="shared" si="1"/>
        <v>132</v>
      </c>
      <c r="M15" s="360">
        <v>122</v>
      </c>
      <c r="N15" s="955">
        <v>10</v>
      </c>
    </row>
    <row r="16" spans="1:14" s="266" customFormat="1" ht="12.75" customHeight="1" hidden="1" thickBot="1">
      <c r="A16" s="1692"/>
      <c r="B16" s="1689" t="s">
        <v>799</v>
      </c>
      <c r="C16" s="1685"/>
      <c r="D16" s="1546"/>
      <c r="E16" s="1546"/>
      <c r="F16" s="1689"/>
      <c r="G16" s="1680"/>
      <c r="H16" s="1680"/>
      <c r="I16" s="480"/>
      <c r="J16" s="485"/>
      <c r="K16" s="481"/>
      <c r="L16" s="480"/>
      <c r="M16" s="485"/>
      <c r="N16" s="480"/>
    </row>
    <row r="17" spans="1:14" s="266" customFormat="1" ht="12.75" customHeight="1" hidden="1">
      <c r="A17" s="1692"/>
      <c r="B17" s="1689"/>
      <c r="C17" s="1685"/>
      <c r="D17" s="1546"/>
      <c r="E17" s="1546"/>
      <c r="F17" s="1689"/>
      <c r="G17" s="1680"/>
      <c r="H17" s="1680"/>
      <c r="I17" s="956"/>
      <c r="J17" s="486"/>
      <c r="K17" s="394"/>
      <c r="L17" s="956"/>
      <c r="M17" s="486"/>
      <c r="N17" s="956"/>
    </row>
    <row r="18" spans="1:14" s="266" customFormat="1" ht="12.75">
      <c r="A18" s="1492">
        <v>5</v>
      </c>
      <c r="B18" s="1472" t="s">
        <v>1035</v>
      </c>
      <c r="C18" s="1499" t="s">
        <v>278</v>
      </c>
      <c r="D18" s="1490" t="s">
        <v>27</v>
      </c>
      <c r="E18" s="1490" t="s">
        <v>1315</v>
      </c>
      <c r="F18" s="1472">
        <f>G18+H18</f>
        <v>28.55</v>
      </c>
      <c r="G18" s="1476">
        <v>0</v>
      </c>
      <c r="H18" s="1467">
        <v>28.55</v>
      </c>
      <c r="I18" s="356">
        <f t="shared" si="0"/>
        <v>0</v>
      </c>
      <c r="J18" s="355">
        <v>0</v>
      </c>
      <c r="K18" s="358">
        <v>0</v>
      </c>
      <c r="L18" s="356">
        <f t="shared" si="1"/>
        <v>34</v>
      </c>
      <c r="M18" s="355">
        <v>34</v>
      </c>
      <c r="N18" s="356">
        <v>0</v>
      </c>
    </row>
    <row r="19" spans="1:14" s="266" customFormat="1" ht="13.5" thickBot="1">
      <c r="A19" s="1493"/>
      <c r="B19" s="1473"/>
      <c r="C19" s="1500"/>
      <c r="D19" s="1491"/>
      <c r="E19" s="1491"/>
      <c r="F19" s="1473"/>
      <c r="G19" s="1477"/>
      <c r="H19" s="1468"/>
      <c r="I19" s="955">
        <f t="shared" si="0"/>
        <v>0</v>
      </c>
      <c r="J19" s="359">
        <v>0</v>
      </c>
      <c r="K19" s="980">
        <v>0</v>
      </c>
      <c r="L19" s="955">
        <f t="shared" si="1"/>
        <v>419</v>
      </c>
      <c r="M19" s="359">
        <v>419</v>
      </c>
      <c r="N19" s="955">
        <v>0</v>
      </c>
    </row>
    <row r="20" spans="1:14" s="266" customFormat="1" ht="12.75">
      <c r="A20" s="1492">
        <v>6</v>
      </c>
      <c r="B20" s="1472" t="s">
        <v>1036</v>
      </c>
      <c r="C20" s="1499" t="s">
        <v>279</v>
      </c>
      <c r="D20" s="1490" t="s">
        <v>27</v>
      </c>
      <c r="E20" s="1472" t="s">
        <v>1336</v>
      </c>
      <c r="F20" s="1467">
        <f>G20+H20</f>
        <v>2.238</v>
      </c>
      <c r="G20" s="1476">
        <v>0</v>
      </c>
      <c r="H20" s="1467">
        <v>2.238</v>
      </c>
      <c r="I20" s="356">
        <f t="shared" si="0"/>
        <v>1</v>
      </c>
      <c r="J20" s="357">
        <v>0</v>
      </c>
      <c r="K20" s="358">
        <v>1</v>
      </c>
      <c r="L20" s="356">
        <f t="shared" si="1"/>
        <v>1</v>
      </c>
      <c r="M20" s="357">
        <v>1</v>
      </c>
      <c r="N20" s="356">
        <v>0</v>
      </c>
    </row>
    <row r="21" spans="1:14" s="266" customFormat="1" ht="13.5" thickBot="1">
      <c r="A21" s="1493"/>
      <c r="B21" s="1473"/>
      <c r="C21" s="1500"/>
      <c r="D21" s="1491"/>
      <c r="E21" s="1473"/>
      <c r="F21" s="1468"/>
      <c r="G21" s="1477"/>
      <c r="H21" s="1468"/>
      <c r="I21" s="955">
        <f t="shared" si="0"/>
        <v>66.65</v>
      </c>
      <c r="J21" s="360">
        <v>0</v>
      </c>
      <c r="K21" s="980">
        <v>66.65</v>
      </c>
      <c r="L21" s="955">
        <f t="shared" si="1"/>
        <v>15</v>
      </c>
      <c r="M21" s="360">
        <v>15</v>
      </c>
      <c r="N21" s="955">
        <v>0</v>
      </c>
    </row>
    <row r="22" spans="1:14" s="266" customFormat="1" ht="12.75">
      <c r="A22" s="1492">
        <v>7</v>
      </c>
      <c r="B22" s="1472" t="s">
        <v>1037</v>
      </c>
      <c r="C22" s="1499" t="s">
        <v>280</v>
      </c>
      <c r="D22" s="1490" t="s">
        <v>27</v>
      </c>
      <c r="E22" s="1490" t="s">
        <v>1337</v>
      </c>
      <c r="F22" s="1472">
        <f>G22+H22</f>
        <v>6.823</v>
      </c>
      <c r="G22" s="1472">
        <v>6.823</v>
      </c>
      <c r="H22" s="1472">
        <v>0</v>
      </c>
      <c r="I22" s="356">
        <f t="shared" si="0"/>
        <v>0</v>
      </c>
      <c r="J22" s="355">
        <v>0</v>
      </c>
      <c r="K22" s="358">
        <v>0</v>
      </c>
      <c r="L22" s="356">
        <f t="shared" si="1"/>
        <v>5</v>
      </c>
      <c r="M22" s="355">
        <v>5</v>
      </c>
      <c r="N22" s="356">
        <v>0</v>
      </c>
    </row>
    <row r="23" spans="1:14" s="266" customFormat="1" ht="13.5" thickBot="1">
      <c r="A23" s="1493"/>
      <c r="B23" s="1473"/>
      <c r="C23" s="1500"/>
      <c r="D23" s="1491"/>
      <c r="E23" s="1491"/>
      <c r="F23" s="1473"/>
      <c r="G23" s="1473"/>
      <c r="H23" s="1473"/>
      <c r="I23" s="955">
        <f t="shared" si="0"/>
        <v>0</v>
      </c>
      <c r="J23" s="359">
        <v>0</v>
      </c>
      <c r="K23" s="980">
        <v>0</v>
      </c>
      <c r="L23" s="955">
        <f t="shared" si="1"/>
        <v>68</v>
      </c>
      <c r="M23" s="359">
        <v>68</v>
      </c>
      <c r="N23" s="955">
        <v>0</v>
      </c>
    </row>
    <row r="24" spans="1:14" s="266" customFormat="1" ht="12.75">
      <c r="A24" s="1492">
        <v>8</v>
      </c>
      <c r="B24" s="1472" t="s">
        <v>1038</v>
      </c>
      <c r="C24" s="1499" t="s">
        <v>281</v>
      </c>
      <c r="D24" s="1490" t="s">
        <v>27</v>
      </c>
      <c r="E24" s="1472" t="s">
        <v>1475</v>
      </c>
      <c r="F24" s="1467">
        <f>G24+H24</f>
        <v>11.831</v>
      </c>
      <c r="G24" s="1467">
        <v>11.831</v>
      </c>
      <c r="H24" s="1476">
        <v>0</v>
      </c>
      <c r="I24" s="356">
        <f t="shared" si="0"/>
        <v>1</v>
      </c>
      <c r="J24" s="357">
        <v>1</v>
      </c>
      <c r="K24" s="358">
        <v>0</v>
      </c>
      <c r="L24" s="356">
        <f t="shared" si="1"/>
        <v>5</v>
      </c>
      <c r="M24" s="357">
        <v>5</v>
      </c>
      <c r="N24" s="356">
        <v>0</v>
      </c>
    </row>
    <row r="25" spans="1:14" s="266" customFormat="1" ht="13.5" thickBot="1">
      <c r="A25" s="1493"/>
      <c r="B25" s="1473"/>
      <c r="C25" s="1500"/>
      <c r="D25" s="1491"/>
      <c r="E25" s="1473"/>
      <c r="F25" s="1468"/>
      <c r="G25" s="1468"/>
      <c r="H25" s="1477"/>
      <c r="I25" s="957">
        <f t="shared" si="0"/>
        <v>12.44</v>
      </c>
      <c r="J25" s="487">
        <v>12.44</v>
      </c>
      <c r="K25" s="980">
        <v>0</v>
      </c>
      <c r="L25" s="955">
        <f t="shared" si="1"/>
        <v>55</v>
      </c>
      <c r="M25" s="360">
        <v>55</v>
      </c>
      <c r="N25" s="955">
        <v>0</v>
      </c>
    </row>
    <row r="26" spans="1:14" s="266" customFormat="1" ht="12.75" customHeight="1" hidden="1" thickBot="1">
      <c r="A26" s="1692">
        <v>10</v>
      </c>
      <c r="B26" s="1689" t="s">
        <v>805</v>
      </c>
      <c r="C26" s="1757"/>
      <c r="D26" s="1546"/>
      <c r="E26" s="1689"/>
      <c r="F26" s="1689">
        <f>G26+H26</f>
        <v>0</v>
      </c>
      <c r="G26" s="1680"/>
      <c r="H26" s="1680"/>
      <c r="I26" s="480">
        <f t="shared" si="0"/>
        <v>0</v>
      </c>
      <c r="J26" s="485"/>
      <c r="K26" s="482"/>
      <c r="L26" s="480">
        <f t="shared" si="1"/>
        <v>0</v>
      </c>
      <c r="M26" s="485"/>
      <c r="N26" s="480"/>
    </row>
    <row r="27" spans="1:14" s="266" customFormat="1" ht="12.75" customHeight="1" hidden="1">
      <c r="A27" s="1692"/>
      <c r="B27" s="1689"/>
      <c r="C27" s="1757"/>
      <c r="D27" s="1546"/>
      <c r="E27" s="1689"/>
      <c r="F27" s="1689"/>
      <c r="G27" s="1680"/>
      <c r="H27" s="1680"/>
      <c r="I27" s="956">
        <f t="shared" si="0"/>
        <v>0</v>
      </c>
      <c r="J27" s="486"/>
      <c r="K27" s="981"/>
      <c r="L27" s="956">
        <f t="shared" si="1"/>
        <v>0</v>
      </c>
      <c r="M27" s="486"/>
      <c r="N27" s="956"/>
    </row>
    <row r="28" spans="1:14" s="266" customFormat="1" ht="12.75">
      <c r="A28" s="1492">
        <v>9</v>
      </c>
      <c r="B28" s="1472" t="s">
        <v>1039</v>
      </c>
      <c r="C28" s="1499" t="s">
        <v>282</v>
      </c>
      <c r="D28" s="1490" t="s">
        <v>49</v>
      </c>
      <c r="E28" s="1472" t="s">
        <v>2</v>
      </c>
      <c r="F28" s="1472">
        <f>G28+H28</f>
        <v>5.085</v>
      </c>
      <c r="G28" s="1467">
        <v>5.085</v>
      </c>
      <c r="H28" s="1476">
        <v>0</v>
      </c>
      <c r="I28" s="356">
        <f t="shared" si="0"/>
        <v>0</v>
      </c>
      <c r="J28" s="357">
        <v>0</v>
      </c>
      <c r="K28" s="358">
        <v>0</v>
      </c>
      <c r="L28" s="356">
        <f t="shared" si="1"/>
        <v>8</v>
      </c>
      <c r="M28" s="357">
        <v>8</v>
      </c>
      <c r="N28" s="356">
        <v>0</v>
      </c>
    </row>
    <row r="29" spans="1:14" s="266" customFormat="1" ht="13.5" thickBot="1">
      <c r="A29" s="1493"/>
      <c r="B29" s="1473"/>
      <c r="C29" s="1500"/>
      <c r="D29" s="1491"/>
      <c r="E29" s="1473"/>
      <c r="F29" s="1473"/>
      <c r="G29" s="1468"/>
      <c r="H29" s="1477"/>
      <c r="I29" s="955">
        <f t="shared" si="0"/>
        <v>0</v>
      </c>
      <c r="J29" s="360">
        <v>0</v>
      </c>
      <c r="K29" s="980">
        <v>0</v>
      </c>
      <c r="L29" s="955">
        <f t="shared" si="1"/>
        <v>80</v>
      </c>
      <c r="M29" s="360">
        <v>80</v>
      </c>
      <c r="N29" s="955">
        <v>0</v>
      </c>
    </row>
    <row r="30" spans="1:14" s="266" customFormat="1" ht="12.75">
      <c r="A30" s="1492">
        <v>10</v>
      </c>
      <c r="B30" s="1472" t="s">
        <v>1040</v>
      </c>
      <c r="C30" s="1499" t="s">
        <v>283</v>
      </c>
      <c r="D30" s="1490" t="s">
        <v>27</v>
      </c>
      <c r="E30" s="1472" t="s">
        <v>1476</v>
      </c>
      <c r="F30" s="1472">
        <f>G30+H30</f>
        <v>7.719</v>
      </c>
      <c r="G30" s="1476">
        <v>0</v>
      </c>
      <c r="H30" s="1467">
        <v>7.719</v>
      </c>
      <c r="I30" s="356">
        <f t="shared" si="0"/>
        <v>0</v>
      </c>
      <c r="J30" s="357">
        <v>0</v>
      </c>
      <c r="K30" s="358">
        <v>0</v>
      </c>
      <c r="L30" s="356">
        <f t="shared" si="1"/>
        <v>5</v>
      </c>
      <c r="M30" s="357">
        <v>0</v>
      </c>
      <c r="N30" s="356">
        <v>5</v>
      </c>
    </row>
    <row r="31" spans="1:14" s="266" customFormat="1" ht="13.5" thickBot="1">
      <c r="A31" s="1493"/>
      <c r="B31" s="1473"/>
      <c r="C31" s="1500"/>
      <c r="D31" s="1491"/>
      <c r="E31" s="1473"/>
      <c r="F31" s="1473"/>
      <c r="G31" s="1477"/>
      <c r="H31" s="1468"/>
      <c r="I31" s="955">
        <f t="shared" si="0"/>
        <v>0</v>
      </c>
      <c r="J31" s="360">
        <v>0</v>
      </c>
      <c r="K31" s="980">
        <v>0</v>
      </c>
      <c r="L31" s="955">
        <f t="shared" si="1"/>
        <v>60</v>
      </c>
      <c r="M31" s="360">
        <v>0</v>
      </c>
      <c r="N31" s="955">
        <v>60</v>
      </c>
    </row>
    <row r="32" spans="1:14" s="266" customFormat="1" ht="12.75">
      <c r="A32" s="1492">
        <v>11</v>
      </c>
      <c r="B32" s="1472" t="s">
        <v>1041</v>
      </c>
      <c r="C32" s="1499" t="s">
        <v>431</v>
      </c>
      <c r="D32" s="1490" t="s">
        <v>27</v>
      </c>
      <c r="E32" s="1490" t="s">
        <v>1338</v>
      </c>
      <c r="F32" s="1472">
        <f>G32+H32</f>
        <v>7.747</v>
      </c>
      <c r="G32" s="1476">
        <v>0</v>
      </c>
      <c r="H32" s="1467">
        <v>7.747</v>
      </c>
      <c r="I32" s="356">
        <f t="shared" si="0"/>
        <v>0</v>
      </c>
      <c r="J32" s="357">
        <v>0</v>
      </c>
      <c r="K32" s="358">
        <v>0</v>
      </c>
      <c r="L32" s="356">
        <f t="shared" si="1"/>
        <v>7</v>
      </c>
      <c r="M32" s="357"/>
      <c r="N32" s="356">
        <v>7</v>
      </c>
    </row>
    <row r="33" spans="1:14" s="266" customFormat="1" ht="13.5" thickBot="1">
      <c r="A33" s="1493"/>
      <c r="B33" s="1473"/>
      <c r="C33" s="1500"/>
      <c r="D33" s="1491"/>
      <c r="E33" s="1491"/>
      <c r="F33" s="1473"/>
      <c r="G33" s="1477"/>
      <c r="H33" s="1468"/>
      <c r="I33" s="955">
        <f t="shared" si="0"/>
        <v>0</v>
      </c>
      <c r="J33" s="360">
        <v>0</v>
      </c>
      <c r="K33" s="980">
        <v>0</v>
      </c>
      <c r="L33" s="955">
        <f t="shared" si="1"/>
        <v>70</v>
      </c>
      <c r="M33" s="360"/>
      <c r="N33" s="955">
        <v>70</v>
      </c>
    </row>
    <row r="34" spans="1:14" s="266" customFormat="1" ht="12.75">
      <c r="A34" s="1492">
        <v>12</v>
      </c>
      <c r="B34" s="1472" t="s">
        <v>1042</v>
      </c>
      <c r="C34" s="1499" t="s">
        <v>484</v>
      </c>
      <c r="D34" s="1490" t="s">
        <v>27</v>
      </c>
      <c r="E34" s="1490" t="s">
        <v>1339</v>
      </c>
      <c r="F34" s="1472">
        <f>G34+H34</f>
        <v>10.537</v>
      </c>
      <c r="G34" s="1476">
        <v>0</v>
      </c>
      <c r="H34" s="1467">
        <v>10.537</v>
      </c>
      <c r="I34" s="356">
        <f t="shared" si="0"/>
        <v>0</v>
      </c>
      <c r="J34" s="357">
        <v>0</v>
      </c>
      <c r="K34" s="358">
        <v>0</v>
      </c>
      <c r="L34" s="356">
        <f t="shared" si="1"/>
        <v>8</v>
      </c>
      <c r="M34" s="357">
        <v>4</v>
      </c>
      <c r="N34" s="356">
        <v>4</v>
      </c>
    </row>
    <row r="35" spans="1:14" s="266" customFormat="1" ht="13.5" thickBot="1">
      <c r="A35" s="1493"/>
      <c r="B35" s="1473"/>
      <c r="C35" s="1500"/>
      <c r="D35" s="1491"/>
      <c r="E35" s="1491"/>
      <c r="F35" s="1473"/>
      <c r="G35" s="1477"/>
      <c r="H35" s="1468"/>
      <c r="I35" s="955">
        <f t="shared" si="0"/>
        <v>0</v>
      </c>
      <c r="J35" s="360">
        <v>0</v>
      </c>
      <c r="K35" s="980">
        <v>0</v>
      </c>
      <c r="L35" s="955">
        <f t="shared" si="1"/>
        <v>96</v>
      </c>
      <c r="M35" s="360">
        <v>50</v>
      </c>
      <c r="N35" s="955">
        <v>46</v>
      </c>
    </row>
    <row r="36" spans="1:14" s="266" customFormat="1" ht="12.75">
      <c r="A36" s="1492">
        <v>13</v>
      </c>
      <c r="B36" s="1690" t="s">
        <v>1043</v>
      </c>
      <c r="C36" s="1499" t="s">
        <v>485</v>
      </c>
      <c r="D36" s="1753" t="s">
        <v>460</v>
      </c>
      <c r="E36" s="1490" t="s">
        <v>1472</v>
      </c>
      <c r="F36" s="1467">
        <f>G36+H36</f>
        <v>17.179</v>
      </c>
      <c r="G36" s="1467">
        <f>G38+G39</f>
        <v>3.819</v>
      </c>
      <c r="H36" s="1467">
        <f>H38+H39</f>
        <v>13.36</v>
      </c>
      <c r="I36" s="356">
        <f t="shared" si="0"/>
        <v>1</v>
      </c>
      <c r="J36" s="357">
        <v>1</v>
      </c>
      <c r="K36" s="358">
        <v>0</v>
      </c>
      <c r="L36" s="356">
        <f t="shared" si="1"/>
        <v>16</v>
      </c>
      <c r="M36" s="357">
        <v>13</v>
      </c>
      <c r="N36" s="356">
        <v>3</v>
      </c>
    </row>
    <row r="37" spans="1:14" s="266" customFormat="1" ht="24" customHeight="1">
      <c r="A37" s="1692"/>
      <c r="B37" s="1695"/>
      <c r="C37" s="1685"/>
      <c r="D37" s="1754"/>
      <c r="E37" s="1755"/>
      <c r="F37" s="1749"/>
      <c r="G37" s="1749"/>
      <c r="H37" s="1749"/>
      <c r="I37" s="958">
        <f t="shared" si="0"/>
        <v>24.1</v>
      </c>
      <c r="J37" s="488">
        <v>24.1</v>
      </c>
      <c r="K37" s="483">
        <v>0</v>
      </c>
      <c r="L37" s="961">
        <f t="shared" si="1"/>
        <v>266</v>
      </c>
      <c r="M37" s="484">
        <v>225</v>
      </c>
      <c r="N37" s="961">
        <v>41</v>
      </c>
    </row>
    <row r="38" spans="1:14" s="266" customFormat="1" ht="12.75">
      <c r="A38" s="1692"/>
      <c r="B38" s="1695"/>
      <c r="C38" s="493" t="s">
        <v>4</v>
      </c>
      <c r="D38" s="494" t="s">
        <v>27</v>
      </c>
      <c r="E38" s="495" t="s">
        <v>1473</v>
      </c>
      <c r="F38" s="819">
        <f>G38+H38</f>
        <v>5.543</v>
      </c>
      <c r="G38" s="819">
        <v>3.819</v>
      </c>
      <c r="H38" s="819">
        <v>1.724</v>
      </c>
      <c r="I38" s="956"/>
      <c r="J38" s="486"/>
      <c r="K38" s="981"/>
      <c r="L38" s="956"/>
      <c r="M38" s="486"/>
      <c r="N38" s="956"/>
    </row>
    <row r="39" spans="1:14" s="266" customFormat="1" ht="26.25" thickBot="1">
      <c r="A39" s="1692"/>
      <c r="B39" s="1695"/>
      <c r="C39" s="493"/>
      <c r="D39" s="494" t="s">
        <v>49</v>
      </c>
      <c r="E39" s="495" t="s">
        <v>1474</v>
      </c>
      <c r="F39" s="819">
        <f>G39+H39</f>
        <v>11.636</v>
      </c>
      <c r="G39" s="819"/>
      <c r="H39" s="819">
        <v>11.636</v>
      </c>
      <c r="I39" s="956"/>
      <c r="J39" s="486"/>
      <c r="K39" s="981"/>
      <c r="L39" s="956"/>
      <c r="M39" s="486"/>
      <c r="N39" s="956"/>
    </row>
    <row r="40" spans="1:14" s="266" customFormat="1" ht="12.75">
      <c r="A40" s="1492">
        <v>14</v>
      </c>
      <c r="B40" s="1472" t="s">
        <v>1044</v>
      </c>
      <c r="C40" s="1499" t="s">
        <v>476</v>
      </c>
      <c r="D40" s="1753" t="s">
        <v>460</v>
      </c>
      <c r="E40" s="1490" t="s">
        <v>284</v>
      </c>
      <c r="F40" s="1472">
        <f>G40+H40</f>
        <v>37.504999999999995</v>
      </c>
      <c r="G40" s="1467">
        <f>G42+G43</f>
        <v>17.933999999999997</v>
      </c>
      <c r="H40" s="1467">
        <f>H42+H43</f>
        <v>19.571</v>
      </c>
      <c r="I40" s="356">
        <f>J40+K40</f>
        <v>1</v>
      </c>
      <c r="J40" s="357">
        <v>1</v>
      </c>
      <c r="K40" s="358">
        <v>0</v>
      </c>
      <c r="L40" s="356">
        <f>M40+N40</f>
        <v>57</v>
      </c>
      <c r="M40" s="355">
        <v>46</v>
      </c>
      <c r="N40" s="356">
        <v>11</v>
      </c>
    </row>
    <row r="41" spans="1:14" s="266" customFormat="1" ht="12.75">
      <c r="A41" s="1692"/>
      <c r="B41" s="1689"/>
      <c r="C41" s="1685"/>
      <c r="D41" s="1754"/>
      <c r="E41" s="1755"/>
      <c r="F41" s="1750"/>
      <c r="G41" s="1749"/>
      <c r="H41" s="1749"/>
      <c r="I41" s="958">
        <f>J41+K41</f>
        <v>197.4</v>
      </c>
      <c r="J41" s="488">
        <v>197.4</v>
      </c>
      <c r="K41" s="483">
        <v>0</v>
      </c>
      <c r="L41" s="961">
        <f>M41+N41</f>
        <v>747</v>
      </c>
      <c r="M41" s="794">
        <v>607</v>
      </c>
      <c r="N41" s="961">
        <v>140</v>
      </c>
    </row>
    <row r="42" spans="1:14" s="266" customFormat="1" ht="12.75">
      <c r="A42" s="1692"/>
      <c r="B42" s="1689"/>
      <c r="C42" s="493" t="s">
        <v>4</v>
      </c>
      <c r="D42" s="498" t="s">
        <v>27</v>
      </c>
      <c r="E42" s="1070" t="s">
        <v>461</v>
      </c>
      <c r="F42" s="1071">
        <f>G42+H42</f>
        <v>21.407999999999998</v>
      </c>
      <c r="G42" s="1071">
        <v>17.528</v>
      </c>
      <c r="H42" s="1071">
        <v>3.88</v>
      </c>
      <c r="I42" s="960"/>
      <c r="J42" s="499"/>
      <c r="K42" s="976"/>
      <c r="L42" s="960"/>
      <c r="M42" s="499"/>
      <c r="N42" s="960"/>
    </row>
    <row r="43" spans="1:14" s="266" customFormat="1" ht="13.5" thickBot="1">
      <c r="A43" s="1493"/>
      <c r="B43" s="1473"/>
      <c r="C43" s="496"/>
      <c r="D43" s="497" t="s">
        <v>49</v>
      </c>
      <c r="E43" s="1072" t="s">
        <v>462</v>
      </c>
      <c r="F43" s="820">
        <f>G43+H43</f>
        <v>16.097</v>
      </c>
      <c r="G43" s="820">
        <v>0.406</v>
      </c>
      <c r="H43" s="820">
        <v>15.691</v>
      </c>
      <c r="I43" s="955"/>
      <c r="J43" s="360"/>
      <c r="K43" s="980"/>
      <c r="L43" s="955"/>
      <c r="M43" s="360"/>
      <c r="N43" s="955"/>
    </row>
    <row r="44" spans="1:14" s="266" customFormat="1" ht="12.75">
      <c r="A44" s="1492">
        <v>15</v>
      </c>
      <c r="B44" s="1690" t="s">
        <v>1045</v>
      </c>
      <c r="C44" s="1499" t="s">
        <v>474</v>
      </c>
      <c r="D44" s="1753" t="s">
        <v>460</v>
      </c>
      <c r="E44" s="1490" t="s">
        <v>1501</v>
      </c>
      <c r="F44" s="1472">
        <f>G44+H44</f>
        <v>11.077</v>
      </c>
      <c r="G44" s="1467">
        <f>G46+G47</f>
        <v>2</v>
      </c>
      <c r="H44" s="1467">
        <f>H46+H47</f>
        <v>9.077</v>
      </c>
      <c r="I44" s="356">
        <f t="shared" si="0"/>
        <v>0</v>
      </c>
      <c r="J44" s="357">
        <v>0</v>
      </c>
      <c r="K44" s="358">
        <v>0</v>
      </c>
      <c r="L44" s="356">
        <f t="shared" si="1"/>
        <v>12</v>
      </c>
      <c r="M44" s="357">
        <v>9</v>
      </c>
      <c r="N44" s="356">
        <v>3</v>
      </c>
    </row>
    <row r="45" spans="1:14" s="266" customFormat="1" ht="12.75">
      <c r="A45" s="1692"/>
      <c r="B45" s="1695"/>
      <c r="C45" s="1685"/>
      <c r="D45" s="1754"/>
      <c r="E45" s="1755"/>
      <c r="F45" s="1750"/>
      <c r="G45" s="1749"/>
      <c r="H45" s="1749"/>
      <c r="I45" s="961">
        <f t="shared" si="0"/>
        <v>0</v>
      </c>
      <c r="J45" s="484">
        <v>0</v>
      </c>
      <c r="K45" s="483">
        <v>0</v>
      </c>
      <c r="L45" s="961">
        <f t="shared" si="1"/>
        <v>143</v>
      </c>
      <c r="M45" s="484">
        <v>86</v>
      </c>
      <c r="N45" s="961">
        <v>57</v>
      </c>
    </row>
    <row r="46" spans="1:14" s="266" customFormat="1" ht="12.75">
      <c r="A46" s="1692"/>
      <c r="B46" s="1695"/>
      <c r="C46" s="493" t="s">
        <v>4</v>
      </c>
      <c r="D46" s="494" t="s">
        <v>27</v>
      </c>
      <c r="E46" s="495" t="s">
        <v>123</v>
      </c>
      <c r="F46" s="819">
        <f>G46+H46</f>
        <v>2</v>
      </c>
      <c r="G46" s="819">
        <v>2</v>
      </c>
      <c r="H46" s="819"/>
      <c r="I46" s="956"/>
      <c r="J46" s="486"/>
      <c r="K46" s="981"/>
      <c r="L46" s="956"/>
      <c r="M46" s="486"/>
      <c r="N46" s="956"/>
    </row>
    <row r="47" spans="1:14" s="266" customFormat="1" ht="13.5" thickBot="1">
      <c r="A47" s="1493"/>
      <c r="B47" s="1691"/>
      <c r="C47" s="496"/>
      <c r="D47" s="497" t="s">
        <v>49</v>
      </c>
      <c r="E47" s="497" t="s">
        <v>1502</v>
      </c>
      <c r="F47" s="820">
        <f>G47+H47</f>
        <v>9.077</v>
      </c>
      <c r="G47" s="820"/>
      <c r="H47" s="820">
        <v>9.077</v>
      </c>
      <c r="I47" s="955"/>
      <c r="J47" s="360"/>
      <c r="K47" s="980"/>
      <c r="L47" s="955"/>
      <c r="M47" s="360"/>
      <c r="N47" s="955"/>
    </row>
    <row r="48" spans="1:14" s="266" customFormat="1" ht="13.5" hidden="1" thickBot="1">
      <c r="A48" s="1692"/>
      <c r="B48" s="1689"/>
      <c r="C48" s="1685"/>
      <c r="D48" s="1546"/>
      <c r="E48" s="1546"/>
      <c r="F48" s="1689">
        <f>G48+H48</f>
        <v>0</v>
      </c>
      <c r="G48" s="1680"/>
      <c r="H48" s="1680"/>
      <c r="I48" s="956">
        <f t="shared" si="0"/>
        <v>0</v>
      </c>
      <c r="J48" s="486"/>
      <c r="K48" s="981"/>
      <c r="L48" s="956">
        <f t="shared" si="1"/>
        <v>0</v>
      </c>
      <c r="M48" s="486"/>
      <c r="N48" s="956"/>
    </row>
    <row r="49" spans="1:14" s="266" customFormat="1" ht="13.5" hidden="1" thickBot="1">
      <c r="A49" s="1756"/>
      <c r="B49" s="1750"/>
      <c r="C49" s="1752"/>
      <c r="D49" s="1755"/>
      <c r="E49" s="1755"/>
      <c r="F49" s="1750"/>
      <c r="G49" s="1766"/>
      <c r="H49" s="1766"/>
      <c r="I49" s="961">
        <f t="shared" si="0"/>
        <v>0</v>
      </c>
      <c r="J49" s="484"/>
      <c r="K49" s="483"/>
      <c r="L49" s="961">
        <f t="shared" si="1"/>
        <v>0</v>
      </c>
      <c r="M49" s="484"/>
      <c r="N49" s="961"/>
    </row>
    <row r="50" spans="1:14" s="266" customFormat="1" ht="13.5" customHeight="1" hidden="1">
      <c r="A50" s="1767"/>
      <c r="B50" s="1751"/>
      <c r="C50" s="1764"/>
      <c r="D50" s="1768"/>
      <c r="E50" s="1768"/>
      <c r="F50" s="1751">
        <f>G50+H50</f>
        <v>0</v>
      </c>
      <c r="G50" s="1765"/>
      <c r="H50" s="1765"/>
      <c r="I50" s="960">
        <f t="shared" si="0"/>
        <v>0</v>
      </c>
      <c r="J50" s="499"/>
      <c r="K50" s="976"/>
      <c r="L50" s="960">
        <f t="shared" si="1"/>
        <v>0</v>
      </c>
      <c r="M50" s="499"/>
      <c r="N50" s="960"/>
    </row>
    <row r="51" spans="1:14" s="266" customFormat="1" ht="13.5" hidden="1" thickBot="1">
      <c r="A51" s="1756"/>
      <c r="B51" s="1750"/>
      <c r="C51" s="1752"/>
      <c r="D51" s="1755"/>
      <c r="E51" s="1755"/>
      <c r="F51" s="1750"/>
      <c r="G51" s="1766"/>
      <c r="H51" s="1766"/>
      <c r="I51" s="961">
        <f t="shared" si="0"/>
        <v>0</v>
      </c>
      <c r="J51" s="484"/>
      <c r="K51" s="483"/>
      <c r="L51" s="961">
        <f t="shared" si="1"/>
        <v>0</v>
      </c>
      <c r="M51" s="484"/>
      <c r="N51" s="961"/>
    </row>
    <row r="52" spans="1:14" s="266" customFormat="1" ht="13.5" hidden="1" thickBot="1">
      <c r="A52" s="1767"/>
      <c r="B52" s="1751"/>
      <c r="C52" s="1764"/>
      <c r="D52" s="1768"/>
      <c r="E52" s="1768"/>
      <c r="F52" s="1751">
        <f>G52+H52</f>
        <v>0</v>
      </c>
      <c r="G52" s="1765"/>
      <c r="H52" s="1765"/>
      <c r="I52" s="960">
        <f t="shared" si="0"/>
        <v>0</v>
      </c>
      <c r="J52" s="499"/>
      <c r="K52" s="976"/>
      <c r="L52" s="960">
        <f t="shared" si="1"/>
        <v>0</v>
      </c>
      <c r="M52" s="499"/>
      <c r="N52" s="956"/>
    </row>
    <row r="53" spans="1:14" s="266" customFormat="1" ht="13.5" hidden="1" thickBot="1">
      <c r="A53" s="1756"/>
      <c r="B53" s="1750"/>
      <c r="C53" s="1752"/>
      <c r="D53" s="1755"/>
      <c r="E53" s="1755"/>
      <c r="F53" s="1750"/>
      <c r="G53" s="1766"/>
      <c r="H53" s="1766"/>
      <c r="I53" s="961">
        <f t="shared" si="0"/>
        <v>0</v>
      </c>
      <c r="J53" s="484"/>
      <c r="K53" s="483"/>
      <c r="L53" s="961">
        <f t="shared" si="1"/>
        <v>0</v>
      </c>
      <c r="M53" s="484"/>
      <c r="N53" s="956"/>
    </row>
    <row r="54" spans="1:14" s="266" customFormat="1" ht="13.5" hidden="1" thickBot="1">
      <c r="A54" s="1767"/>
      <c r="B54" s="1751"/>
      <c r="C54" s="1764"/>
      <c r="D54" s="1768"/>
      <c r="E54" s="1768"/>
      <c r="F54" s="1751">
        <f>G54+H54</f>
        <v>0</v>
      </c>
      <c r="G54" s="1765"/>
      <c r="H54" s="1765"/>
      <c r="I54" s="960">
        <f t="shared" si="0"/>
        <v>0</v>
      </c>
      <c r="J54" s="499"/>
      <c r="K54" s="976"/>
      <c r="L54" s="960">
        <f t="shared" si="1"/>
        <v>0</v>
      </c>
      <c r="M54" s="499"/>
      <c r="N54" s="956"/>
    </row>
    <row r="55" spans="1:14" s="266" customFormat="1" ht="13.5" hidden="1" thickBot="1">
      <c r="A55" s="1756"/>
      <c r="B55" s="1750"/>
      <c r="C55" s="1752"/>
      <c r="D55" s="1755"/>
      <c r="E55" s="1755"/>
      <c r="F55" s="1750"/>
      <c r="G55" s="1766"/>
      <c r="H55" s="1766"/>
      <c r="I55" s="961">
        <f t="shared" si="0"/>
        <v>0</v>
      </c>
      <c r="J55" s="484"/>
      <c r="K55" s="483"/>
      <c r="L55" s="961">
        <f t="shared" si="1"/>
        <v>0</v>
      </c>
      <c r="M55" s="484"/>
      <c r="N55" s="956"/>
    </row>
    <row r="56" spans="1:14" s="266" customFormat="1" ht="24" customHeight="1" hidden="1">
      <c r="A56" s="1767"/>
      <c r="B56" s="1751"/>
      <c r="C56" s="1764"/>
      <c r="D56" s="1768"/>
      <c r="E56" s="1768"/>
      <c r="F56" s="1751">
        <f>G56+H56</f>
        <v>0</v>
      </c>
      <c r="G56" s="1765"/>
      <c r="H56" s="1765"/>
      <c r="I56" s="960">
        <f t="shared" si="0"/>
        <v>0</v>
      </c>
      <c r="J56" s="499"/>
      <c r="K56" s="976"/>
      <c r="L56" s="960">
        <f t="shared" si="1"/>
        <v>0</v>
      </c>
      <c r="M56" s="499"/>
      <c r="N56" s="960"/>
    </row>
    <row r="57" spans="1:14" s="266" customFormat="1" ht="13.5" hidden="1" thickBot="1">
      <c r="A57" s="1756"/>
      <c r="B57" s="1750"/>
      <c r="C57" s="1752"/>
      <c r="D57" s="1755"/>
      <c r="E57" s="1755"/>
      <c r="F57" s="1750"/>
      <c r="G57" s="1766"/>
      <c r="H57" s="1766"/>
      <c r="I57" s="961">
        <f t="shared" si="0"/>
        <v>0</v>
      </c>
      <c r="J57" s="484"/>
      <c r="K57" s="483"/>
      <c r="L57" s="961">
        <f t="shared" si="1"/>
        <v>0</v>
      </c>
      <c r="M57" s="484"/>
      <c r="N57" s="961"/>
    </row>
    <row r="58" spans="1:14" s="266" customFormat="1" ht="13.5" hidden="1" thickBot="1">
      <c r="A58" s="1767"/>
      <c r="B58" s="1751"/>
      <c r="C58" s="1764"/>
      <c r="D58" s="1768"/>
      <c r="E58" s="1768"/>
      <c r="F58" s="1765">
        <f>G58+H58</f>
        <v>0</v>
      </c>
      <c r="G58" s="1765"/>
      <c r="H58" s="1765"/>
      <c r="I58" s="956">
        <f t="shared" si="0"/>
        <v>0</v>
      </c>
      <c r="J58" s="960"/>
      <c r="K58" s="960"/>
      <c r="L58" s="956">
        <f t="shared" si="1"/>
        <v>0</v>
      </c>
      <c r="M58" s="960"/>
      <c r="N58" s="960"/>
    </row>
    <row r="59" spans="1:14" s="266" customFormat="1" ht="13.5" hidden="1" thickBot="1">
      <c r="A59" s="1756"/>
      <c r="B59" s="1750"/>
      <c r="C59" s="1752"/>
      <c r="D59" s="1755"/>
      <c r="E59" s="1755"/>
      <c r="F59" s="1766"/>
      <c r="G59" s="1766"/>
      <c r="H59" s="1766"/>
      <c r="I59" s="956">
        <f t="shared" si="0"/>
        <v>0</v>
      </c>
      <c r="J59" s="961"/>
      <c r="K59" s="961"/>
      <c r="L59" s="956">
        <f t="shared" si="1"/>
        <v>0</v>
      </c>
      <c r="M59" s="961"/>
      <c r="N59" s="961"/>
    </row>
    <row r="60" spans="1:14" s="266" customFormat="1" ht="22.5" customHeight="1" hidden="1">
      <c r="A60" s="1767"/>
      <c r="B60" s="1751"/>
      <c r="C60" s="1764"/>
      <c r="D60" s="1768"/>
      <c r="E60" s="1768"/>
      <c r="F60" s="1751">
        <f>G60+H60</f>
        <v>0</v>
      </c>
      <c r="G60" s="1765"/>
      <c r="H60" s="1765"/>
      <c r="I60" s="960">
        <f t="shared" si="0"/>
        <v>0</v>
      </c>
      <c r="J60" s="486"/>
      <c r="K60" s="981"/>
      <c r="L60" s="960">
        <f t="shared" si="1"/>
        <v>0</v>
      </c>
      <c r="M60" s="486"/>
      <c r="N60" s="956"/>
    </row>
    <row r="61" spans="1:14" s="266" customFormat="1" ht="13.5" customHeight="1" hidden="1">
      <c r="A61" s="1692"/>
      <c r="B61" s="1689"/>
      <c r="C61" s="1685"/>
      <c r="D61" s="1546"/>
      <c r="E61" s="1546"/>
      <c r="F61" s="1689"/>
      <c r="G61" s="1680"/>
      <c r="H61" s="1680"/>
      <c r="I61" s="956">
        <f t="shared" si="0"/>
        <v>0</v>
      </c>
      <c r="J61" s="486"/>
      <c r="K61" s="981"/>
      <c r="L61" s="956">
        <f t="shared" si="1"/>
        <v>0</v>
      </c>
      <c r="M61" s="486"/>
      <c r="N61" s="956"/>
    </row>
    <row r="62" spans="1:14" s="266" customFormat="1" ht="13.5" customHeight="1">
      <c r="A62" s="1769">
        <v>16</v>
      </c>
      <c r="B62" s="1472" t="s">
        <v>1157</v>
      </c>
      <c r="C62" s="1499" t="s">
        <v>558</v>
      </c>
      <c r="D62" s="1490" t="s">
        <v>27</v>
      </c>
      <c r="E62" s="1490" t="s">
        <v>1319</v>
      </c>
      <c r="F62" s="1774">
        <f>H62</f>
        <v>37.6</v>
      </c>
      <c r="G62" s="1476">
        <v>0</v>
      </c>
      <c r="H62" s="1774">
        <v>37.6</v>
      </c>
      <c r="I62" s="954">
        <f>J62+K62</f>
        <v>3</v>
      </c>
      <c r="J62" s="492">
        <v>1</v>
      </c>
      <c r="K62" s="979">
        <v>2</v>
      </c>
      <c r="L62" s="356">
        <f t="shared" si="1"/>
        <v>33</v>
      </c>
      <c r="M62" s="492">
        <v>31</v>
      </c>
      <c r="N62" s="954">
        <v>2</v>
      </c>
    </row>
    <row r="63" spans="1:14" s="266" customFormat="1" ht="14.25" customHeight="1" thickBot="1">
      <c r="A63" s="1770"/>
      <c r="B63" s="1473"/>
      <c r="C63" s="1500"/>
      <c r="D63" s="1491"/>
      <c r="E63" s="1491"/>
      <c r="F63" s="1775"/>
      <c r="G63" s="1477"/>
      <c r="H63" s="1775"/>
      <c r="I63" s="957">
        <f>J63+K63</f>
        <v>85.25</v>
      </c>
      <c r="J63" s="487">
        <v>5.45</v>
      </c>
      <c r="K63" s="491">
        <v>79.8</v>
      </c>
      <c r="L63" s="955">
        <f t="shared" si="1"/>
        <v>404</v>
      </c>
      <c r="M63" s="360">
        <v>377</v>
      </c>
      <c r="N63" s="955">
        <v>27</v>
      </c>
    </row>
    <row r="64" spans="1:14" s="2" customFormat="1" ht="12.75">
      <c r="A64" s="1771"/>
      <c r="B64" s="343"/>
      <c r="C64" s="1688" t="s">
        <v>229</v>
      </c>
      <c r="D64" s="1688" t="s">
        <v>274</v>
      </c>
      <c r="E64" s="1688"/>
      <c r="F64" s="1772">
        <f>F10+F12+F14+F16+F18+F20+F22+F24+F8+F26+F28+F30+F32+F34+F36+F44+F40+F48+F50+F52+F54+F56+F58+F60+F62</f>
        <v>276.045</v>
      </c>
      <c r="G64" s="1772">
        <f>G10+G12+G14+G16+G18+G20+G22+G24+G8+G26+G28+G30+G32+G34+G36+G44+G40+G48+G50+G52+G54+G56+G58+G60+G62</f>
        <v>104.601</v>
      </c>
      <c r="H64" s="1772">
        <f>H10+H12+H14+H16+H18+H20+H22+H24+H8+H26+H28+H30+H32+H34+H36+H44+H40+H48+H50+H52+H54+H56+H58+H60+H62</f>
        <v>171.444</v>
      </c>
      <c r="I64" s="344">
        <f>I10+I12+I14+I16+I18+I20+I22+I24+I8+I26+I28+I30+I32+I34+I36+I44+I40+I48+I50+I52+I54+I56+I58+I60+3</f>
        <v>11</v>
      </c>
      <c r="J64" s="344">
        <f>J10+J12+J14+J16+J18+J20+J22+J24+J8+J26+J28+J30+J32+J34+J36+J44+J40+J48+J50+J52+J54+J56+J58+J60+J62</f>
        <v>8</v>
      </c>
      <c r="K64" s="344">
        <f>K10+K12+K14+K16+K18+K20+K22+K24+K8+K26+K28+K30+K32+K34+K36+K44+K40+K48+K50+K52+K54+K56+K58+K60+K62</f>
        <v>3</v>
      </c>
      <c r="L64" s="344">
        <f>L10+L12+L14+L16+L18+L20+L22+L24+L8+L26+L28+L30+L32+L34+L36+L44+L40+L62</f>
        <v>283</v>
      </c>
      <c r="M64" s="344">
        <f>M10+M12+M14+M16+M18+M20+M22+M24+M8+M26+M28+M30+M32+M34+M36+M44+M40+M48+M50+M52+M54+M56+M58+M60+M62</f>
        <v>240</v>
      </c>
      <c r="N64" s="344">
        <f>N10+N12+N14+N16+N18+N20+N22+N24+N8+N26+N28+N30+N32+N34+N36+N44+N40+N48+N50+N52+N54+N56+N58+N60+N62</f>
        <v>43</v>
      </c>
    </row>
    <row r="65" spans="1:14" s="2" customFormat="1" ht="13.5" thickBot="1">
      <c r="A65" s="1496"/>
      <c r="B65" s="232"/>
      <c r="C65" s="1487"/>
      <c r="D65" s="1487"/>
      <c r="E65" s="1487"/>
      <c r="F65" s="1773"/>
      <c r="G65" s="1773"/>
      <c r="H65" s="1773"/>
      <c r="I65" s="367">
        <f>I11+I13+I15+I17+I19+I21+I23+I25+I9+I27+I29+I31+I33+I35+++++I37+I45+I41+I63</f>
        <v>567.08</v>
      </c>
      <c r="J65" s="367">
        <f>J11+J13+J15+J17+J19+J21+J23+J25+J9+J27+J29+J31+J33+J35+J37+J45+J41+J49+J51+J53+J55+J57+J59+J61+J63</f>
        <v>420.63</v>
      </c>
      <c r="K65" s="367">
        <f>K11+K13+K15+K17+K19+K21+K23+K25+K9+K27+K29+K31+K33+K35+K37+K45+K41+K49+K51+K53+K55+K57+K59+K61+K63</f>
        <v>146.45</v>
      </c>
      <c r="L65" s="233">
        <f>L11+L13+L15+L17+L19+L21+L23+L25+L9+L27+L29+L31+L33+L35+L37+L45+L41+L63</f>
        <v>3965</v>
      </c>
      <c r="M65" s="233">
        <f>M11+M13+M15+M17+M19+M21+M23+M25+M9+M27+M29+M31+M33+M35+M37+M45+M41+M49+M51+M53+M55+M57+M59+M61+M63</f>
        <v>3449</v>
      </c>
      <c r="N65" s="233">
        <f>N11+N13+N15+N17+N19+N21+N23+N25+N9+N27+N29+N31+N33+N35+N37+N45+N41+N49+N51+N53+N55+N57+N59+N61+N63</f>
        <v>516</v>
      </c>
    </row>
    <row r="66" spans="1:14" ht="12.75" hidden="1">
      <c r="A66" s="153"/>
      <c r="B66" s="153"/>
      <c r="C66" s="1686" t="s">
        <v>454</v>
      </c>
      <c r="D66" s="235" t="s">
        <v>450</v>
      </c>
      <c r="E66" s="236"/>
      <c r="F66" s="237">
        <f>SUMIF($D$10:$D$61,"=I",F10:F61)</f>
        <v>0</v>
      </c>
      <c r="G66" s="237">
        <f>SUMIF($D$10:$D$61,"=I",G10:G61)</f>
        <v>0</v>
      </c>
      <c r="H66" s="237">
        <f>SUMIF($D$10:$D$61,"=I",H10:H61)</f>
        <v>0</v>
      </c>
      <c r="I66" s="249"/>
      <c r="J66" s="250">
        <f>J12+J14+J16+J18+J20+J22+J24+J8+J26+J28+J30+J32+J34+J36+J38+J46+J42+J50+J52+J54+J56+J58+J60+J62+J64</f>
        <v>14</v>
      </c>
      <c r="K66" s="249"/>
      <c r="L66" s="53"/>
      <c r="M66" s="53"/>
      <c r="N66" s="53"/>
    </row>
    <row r="67" spans="1:14" ht="12.75" hidden="1">
      <c r="A67" s="153"/>
      <c r="B67" s="153"/>
      <c r="C67" s="1687"/>
      <c r="D67" s="239" t="s">
        <v>100</v>
      </c>
      <c r="E67" s="240"/>
      <c r="F67" s="241">
        <f>SUMIF($D$10:$D$61,"=II",F10:F61)</f>
        <v>0</v>
      </c>
      <c r="G67" s="241">
        <f>SUMIF($D$10:$D$61,"=II",G10:G61)</f>
        <v>0</v>
      </c>
      <c r="H67" s="241">
        <f>SUMIF($D$10:$D$61,"=II",H10:H61)</f>
        <v>0</v>
      </c>
      <c r="I67" s="249"/>
      <c r="J67" s="250">
        <f>J13+J15+J17+J19+J21+J23+J25+J9+J27+J29+J31+J33+J35+J37+J39+J47+J43+J51+J53+J55+J57+J59+J61+J63+J65</f>
        <v>577.56</v>
      </c>
      <c r="K67" s="249"/>
      <c r="L67" s="53"/>
      <c r="M67" s="53"/>
      <c r="N67" s="53"/>
    </row>
    <row r="68" spans="1:14" ht="12.75">
      <c r="A68" s="153"/>
      <c r="B68" s="153"/>
      <c r="C68" s="1687"/>
      <c r="D68" s="242" t="s">
        <v>102</v>
      </c>
      <c r="E68" s="240"/>
      <c r="F68" s="243">
        <f>SUMIF($D$8:$D$62,"=III",F8:F62)</f>
        <v>20.24</v>
      </c>
      <c r="G68" s="243">
        <f>SUMIF($D$8:$D$62,"=III",G8:G62)</f>
        <v>20.24</v>
      </c>
      <c r="H68" s="243">
        <f>SUMIF($D$8:$D$62,"=III",H8:H62)</f>
        <v>0</v>
      </c>
      <c r="I68" s="249"/>
      <c r="J68" s="249"/>
      <c r="K68" s="249"/>
      <c r="L68" s="53"/>
      <c r="M68" s="53"/>
      <c r="N68" s="53"/>
    </row>
    <row r="69" spans="1:14" ht="12.75">
      <c r="A69" s="153"/>
      <c r="B69" s="153"/>
      <c r="C69" s="1687"/>
      <c r="D69" s="240" t="s">
        <v>27</v>
      </c>
      <c r="E69" s="244"/>
      <c r="F69" s="243">
        <f>SUMIF($D$8:$D$62,"=IV",F8:F62)</f>
        <v>213.91</v>
      </c>
      <c r="G69" s="243">
        <f>SUMIF($D$8:$D$62,"=IV",G8:G62)</f>
        <v>78.87</v>
      </c>
      <c r="H69" s="243">
        <f>SUMIF($D$8:$D$62,"=IV",H8:H62)</f>
        <v>135.04</v>
      </c>
      <c r="I69" s="53"/>
      <c r="J69" s="53"/>
      <c r="K69" s="53"/>
      <c r="L69" s="53"/>
      <c r="M69" s="53"/>
      <c r="N69" s="53"/>
    </row>
    <row r="70" spans="1:14" ht="12.75">
      <c r="A70" s="154"/>
      <c r="B70" s="154"/>
      <c r="C70" s="1687"/>
      <c r="D70" s="240" t="s">
        <v>49</v>
      </c>
      <c r="E70" s="241"/>
      <c r="F70" s="243">
        <f>SUMIF($D$8:$D$62,"=V",F8:F62)</f>
        <v>41.894999999999996</v>
      </c>
      <c r="G70" s="243">
        <f>SUMIF($D$8:$D$62,"=V",G8:G62)</f>
        <v>5.491</v>
      </c>
      <c r="H70" s="243">
        <f>SUMIF($D$8:$D$62,"=V",H8:H62)</f>
        <v>36.403999999999996</v>
      </c>
      <c r="I70" s="53"/>
      <c r="J70" s="53"/>
      <c r="K70" s="53"/>
      <c r="L70" s="53"/>
      <c r="M70" s="53"/>
      <c r="N70" s="53"/>
    </row>
    <row r="71" spans="1:14" ht="12.75">
      <c r="A71" s="53"/>
      <c r="C71" s="251"/>
      <c r="D71" s="251"/>
      <c r="E71" s="252"/>
      <c r="F71" s="53"/>
      <c r="G71" s="53"/>
      <c r="H71" s="53"/>
      <c r="I71" s="53"/>
      <c r="J71" s="53"/>
      <c r="K71" s="53"/>
      <c r="L71" s="53"/>
      <c r="M71" s="53"/>
      <c r="N71" s="53"/>
    </row>
    <row r="72" spans="3:5" ht="12.75">
      <c r="C72" s="6"/>
      <c r="D72" s="6"/>
      <c r="E72" s="4"/>
    </row>
    <row r="73" spans="3:5" ht="12.75">
      <c r="C73" s="8"/>
      <c r="D73" s="8"/>
      <c r="E73" s="4"/>
    </row>
    <row r="74" spans="3:5" ht="12.75">
      <c r="C74" s="7"/>
      <c r="D74" s="7"/>
      <c r="E74" s="5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1776"/>
      <c r="D88" s="7"/>
    </row>
    <row r="89" spans="3:4" ht="12.75">
      <c r="C89" s="1776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</sheetData>
  <sheetProtection/>
  <mergeCells count="227">
    <mergeCell ref="C88:C89"/>
    <mergeCell ref="D64:D65"/>
    <mergeCell ref="F62:F63"/>
    <mergeCell ref="C66:C70"/>
    <mergeCell ref="E64:E65"/>
    <mergeCell ref="F64:F65"/>
    <mergeCell ref="H60:H61"/>
    <mergeCell ref="D62:D63"/>
    <mergeCell ref="H64:H65"/>
    <mergeCell ref="G62:G63"/>
    <mergeCell ref="H62:H63"/>
    <mergeCell ref="G64:G65"/>
    <mergeCell ref="H56:H57"/>
    <mergeCell ref="G60:G61"/>
    <mergeCell ref="G56:G57"/>
    <mergeCell ref="H58:H59"/>
    <mergeCell ref="H40:H41"/>
    <mergeCell ref="H54:H55"/>
    <mergeCell ref="H52:H53"/>
    <mergeCell ref="H50:H51"/>
    <mergeCell ref="A64:A65"/>
    <mergeCell ref="C64:C65"/>
    <mergeCell ref="A60:A61"/>
    <mergeCell ref="B60:B61"/>
    <mergeCell ref="C60:C61"/>
    <mergeCell ref="A62:A63"/>
    <mergeCell ref="B62:B63"/>
    <mergeCell ref="C62:C63"/>
    <mergeCell ref="E62:E63"/>
    <mergeCell ref="E48:E49"/>
    <mergeCell ref="E58:E59"/>
    <mergeCell ref="E54:E55"/>
    <mergeCell ref="F56:F57"/>
    <mergeCell ref="F58:F59"/>
    <mergeCell ref="F60:F61"/>
    <mergeCell ref="F50:F51"/>
    <mergeCell ref="B58:B59"/>
    <mergeCell ref="C52:C53"/>
    <mergeCell ref="G58:G59"/>
    <mergeCell ref="D60:D61"/>
    <mergeCell ref="E60:E61"/>
    <mergeCell ref="C58:C59"/>
    <mergeCell ref="D58:D59"/>
    <mergeCell ref="G52:G53"/>
    <mergeCell ref="D56:D57"/>
    <mergeCell ref="H44:H45"/>
    <mergeCell ref="B48:B49"/>
    <mergeCell ref="F54:F55"/>
    <mergeCell ref="F44:F45"/>
    <mergeCell ref="D50:D51"/>
    <mergeCell ref="C44:C45"/>
    <mergeCell ref="E44:E45"/>
    <mergeCell ref="F48:F49"/>
    <mergeCell ref="G44:G45"/>
    <mergeCell ref="F40:F41"/>
    <mergeCell ref="A50:A51"/>
    <mergeCell ref="B52:B53"/>
    <mergeCell ref="B54:B55"/>
    <mergeCell ref="B50:B51"/>
    <mergeCell ref="A54:A55"/>
    <mergeCell ref="E50:E51"/>
    <mergeCell ref="D52:D53"/>
    <mergeCell ref="F52:F53"/>
    <mergeCell ref="A44:A47"/>
    <mergeCell ref="A58:A59"/>
    <mergeCell ref="A52:A53"/>
    <mergeCell ref="C56:C57"/>
    <mergeCell ref="E56:E57"/>
    <mergeCell ref="C54:C55"/>
    <mergeCell ref="G54:G55"/>
    <mergeCell ref="A56:A57"/>
    <mergeCell ref="B56:B57"/>
    <mergeCell ref="E52:E53"/>
    <mergeCell ref="D54:D55"/>
    <mergeCell ref="H30:H31"/>
    <mergeCell ref="H32:H33"/>
    <mergeCell ref="H34:H35"/>
    <mergeCell ref="C50:C51"/>
    <mergeCell ref="G40:G41"/>
    <mergeCell ref="G50:G51"/>
    <mergeCell ref="G48:G49"/>
    <mergeCell ref="G34:G35"/>
    <mergeCell ref="F34:F35"/>
    <mergeCell ref="H48:H49"/>
    <mergeCell ref="M6:N6"/>
    <mergeCell ref="G5:H5"/>
    <mergeCell ref="G10:G11"/>
    <mergeCell ref="H10:H11"/>
    <mergeCell ref="H8:H9"/>
    <mergeCell ref="H24:H25"/>
    <mergeCell ref="H22:H23"/>
    <mergeCell ref="H14:H15"/>
    <mergeCell ref="H20:H21"/>
    <mergeCell ref="L6:L7"/>
    <mergeCell ref="F12:F13"/>
    <mergeCell ref="E10:E11"/>
    <mergeCell ref="F10:F11"/>
    <mergeCell ref="G12:G13"/>
    <mergeCell ref="E14:E15"/>
    <mergeCell ref="G14:G15"/>
    <mergeCell ref="F36:F37"/>
    <mergeCell ref="F14:F15"/>
    <mergeCell ref="G16:G17"/>
    <mergeCell ref="G36:G37"/>
    <mergeCell ref="F16:F17"/>
    <mergeCell ref="H18:H19"/>
    <mergeCell ref="F26:F27"/>
    <mergeCell ref="G26:G27"/>
    <mergeCell ref="G20:G21"/>
    <mergeCell ref="H36:H37"/>
    <mergeCell ref="G32:G33"/>
    <mergeCell ref="E32:E33"/>
    <mergeCell ref="E30:E31"/>
    <mergeCell ref="E26:E27"/>
    <mergeCell ref="I5:K5"/>
    <mergeCell ref="E28:E29"/>
    <mergeCell ref="F32:F33"/>
    <mergeCell ref="G30:G31"/>
    <mergeCell ref="F28:F29"/>
    <mergeCell ref="H12:H13"/>
    <mergeCell ref="D24:D25"/>
    <mergeCell ref="D28:D29"/>
    <mergeCell ref="B12:B13"/>
    <mergeCell ref="E12:E13"/>
    <mergeCell ref="D18:D19"/>
    <mergeCell ref="D22:D23"/>
    <mergeCell ref="D20:D21"/>
    <mergeCell ref="E18:E19"/>
    <mergeCell ref="E24:E25"/>
    <mergeCell ref="B24:B25"/>
    <mergeCell ref="J6:K6"/>
    <mergeCell ref="B10:B11"/>
    <mergeCell ref="D5:D7"/>
    <mergeCell ref="E5:E7"/>
    <mergeCell ref="F5:F7"/>
    <mergeCell ref="G6:G7"/>
    <mergeCell ref="H6:H7"/>
    <mergeCell ref="I6:I7"/>
    <mergeCell ref="C5:C7"/>
    <mergeCell ref="C10:C11"/>
    <mergeCell ref="L5:N5"/>
    <mergeCell ref="A14:A15"/>
    <mergeCell ref="B14:B15"/>
    <mergeCell ref="C14:C15"/>
    <mergeCell ref="A10:A11"/>
    <mergeCell ref="A1:N1"/>
    <mergeCell ref="A2:N2"/>
    <mergeCell ref="A3:N3"/>
    <mergeCell ref="A5:A7"/>
    <mergeCell ref="B5:B7"/>
    <mergeCell ref="C20:C21"/>
    <mergeCell ref="A20:A21"/>
    <mergeCell ref="B20:B21"/>
    <mergeCell ref="A16:A17"/>
    <mergeCell ref="B16:B17"/>
    <mergeCell ref="C16:C17"/>
    <mergeCell ref="D12:D13"/>
    <mergeCell ref="C12:C13"/>
    <mergeCell ref="D16:D17"/>
    <mergeCell ref="A12:A13"/>
    <mergeCell ref="A18:A19"/>
    <mergeCell ref="B18:B19"/>
    <mergeCell ref="C18:C19"/>
    <mergeCell ref="A26:A27"/>
    <mergeCell ref="B26:B27"/>
    <mergeCell ref="B8:B9"/>
    <mergeCell ref="A8:A9"/>
    <mergeCell ref="A22:A23"/>
    <mergeCell ref="B22:B23"/>
    <mergeCell ref="A24:A25"/>
    <mergeCell ref="B28:B29"/>
    <mergeCell ref="C8:C9"/>
    <mergeCell ref="D26:D27"/>
    <mergeCell ref="D8:D9"/>
    <mergeCell ref="C28:C29"/>
    <mergeCell ref="C26:C27"/>
    <mergeCell ref="C24:C25"/>
    <mergeCell ref="D10:D11"/>
    <mergeCell ref="D14:D15"/>
    <mergeCell ref="C22:C23"/>
    <mergeCell ref="F30:F31"/>
    <mergeCell ref="H16:H17"/>
    <mergeCell ref="G8:G9"/>
    <mergeCell ref="A48:A49"/>
    <mergeCell ref="E16:E17"/>
    <mergeCell ref="D48:D49"/>
    <mergeCell ref="B36:B39"/>
    <mergeCell ref="B44:B47"/>
    <mergeCell ref="A28:A29"/>
    <mergeCell ref="B32:B33"/>
    <mergeCell ref="D34:D35"/>
    <mergeCell ref="E34:E35"/>
    <mergeCell ref="C30:C31"/>
    <mergeCell ref="E40:E41"/>
    <mergeCell ref="C36:C37"/>
    <mergeCell ref="E36:E37"/>
    <mergeCell ref="D30:D31"/>
    <mergeCell ref="C40:C41"/>
    <mergeCell ref="A34:A35"/>
    <mergeCell ref="C48:C49"/>
    <mergeCell ref="D36:D37"/>
    <mergeCell ref="D44:D45"/>
    <mergeCell ref="D32:D33"/>
    <mergeCell ref="D40:D41"/>
    <mergeCell ref="B34:B35"/>
    <mergeCell ref="C32:C33"/>
    <mergeCell ref="B40:B43"/>
    <mergeCell ref="C34:C35"/>
    <mergeCell ref="G18:G19"/>
    <mergeCell ref="G22:G23"/>
    <mergeCell ref="F20:F21"/>
    <mergeCell ref="F18:F19"/>
    <mergeCell ref="A40:A43"/>
    <mergeCell ref="A30:A31"/>
    <mergeCell ref="B30:B31"/>
    <mergeCell ref="A32:A33"/>
    <mergeCell ref="A36:A39"/>
    <mergeCell ref="H26:H27"/>
    <mergeCell ref="G28:G29"/>
    <mergeCell ref="E20:E21"/>
    <mergeCell ref="E8:E9"/>
    <mergeCell ref="F22:F23"/>
    <mergeCell ref="E22:E23"/>
    <mergeCell ref="H28:H29"/>
    <mergeCell ref="F8:F9"/>
    <mergeCell ref="F24:F25"/>
    <mergeCell ref="G24:G25"/>
  </mergeCells>
  <printOptions/>
  <pageMargins left="0.5118110236220472" right="0.35433070866141736" top="0.2755905511811024" bottom="0.31496062992125984" header="0.15748031496062992" footer="0.15748031496062992"/>
  <pageSetup firstPageNumber="29" useFirstPageNumber="1" fitToHeight="0" fitToWidth="1" horizontalDpi="300" verticalDpi="300" orientation="landscape" paperSize="9" r:id="rId1"/>
  <headerFooter alignWithMargins="0">
    <oddFooter>&amp;CСтраница &amp;P</oddFooter>
  </headerFooter>
  <rowBreaks count="1" manualBreakCount="1">
    <brk id="47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131"/>
  <sheetViews>
    <sheetView view="pageBreakPreview" zoomScaleSheetLayoutView="100" zoomScalePageLayoutView="0" workbookViewId="0" topLeftCell="A1">
      <selection activeCell="O1" sqref="O1:W16384"/>
    </sheetView>
  </sheetViews>
  <sheetFormatPr defaultColWidth="9.00390625" defaultRowHeight="12.75"/>
  <cols>
    <col min="1" max="1" width="4.25390625" style="0" customWidth="1"/>
    <col min="2" max="2" width="12.375" style="53" customWidth="1"/>
    <col min="3" max="3" width="31.375" style="0" customWidth="1"/>
    <col min="4" max="4" width="9.25390625" style="0" customWidth="1"/>
    <col min="5" max="5" width="8.25390625" style="0" customWidth="1"/>
    <col min="7" max="7" width="7.75390625" style="0" customWidth="1"/>
    <col min="8" max="8" width="10.125" style="0" customWidth="1"/>
    <col min="9" max="9" width="7.125" style="0" customWidth="1"/>
    <col min="10" max="10" width="8.00390625" style="0" customWidth="1"/>
    <col min="11" max="11" width="8.75390625" style="0" customWidth="1"/>
    <col min="12" max="12" width="7.875" style="0" customWidth="1"/>
    <col min="13" max="13" width="8.1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30" customHeight="1">
      <c r="A2" s="1781" t="s">
        <v>1419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</row>
    <row r="3" spans="1:14" ht="12.7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s="1" customFormat="1" ht="12.75" customHeight="1" thickBot="1">
      <c r="A4" s="1299" t="s">
        <v>9</v>
      </c>
      <c r="B4" s="1203" t="s">
        <v>735</v>
      </c>
      <c r="C4" s="1278" t="s">
        <v>455</v>
      </c>
      <c r="D4" s="1281" t="s">
        <v>231</v>
      </c>
      <c r="E4" s="1292" t="s">
        <v>622</v>
      </c>
      <c r="F4" s="1281" t="s">
        <v>623</v>
      </c>
      <c r="G4" s="1278" t="s">
        <v>4</v>
      </c>
      <c r="H4" s="1278"/>
      <c r="I4" s="1299" t="s">
        <v>458</v>
      </c>
      <c r="J4" s="1278"/>
      <c r="K4" s="1175"/>
      <c r="L4" s="1318" t="s">
        <v>19</v>
      </c>
      <c r="M4" s="1241"/>
      <c r="N4" s="1319"/>
    </row>
    <row r="5" spans="1:14" s="1" customFormat="1" ht="13.5" customHeight="1" thickBot="1">
      <c r="A5" s="1316"/>
      <c r="B5" s="1204"/>
      <c r="C5" s="1300"/>
      <c r="D5" s="1282"/>
      <c r="E5" s="1293"/>
      <c r="F5" s="1295"/>
      <c r="G5" s="1281" t="s">
        <v>456</v>
      </c>
      <c r="H5" s="1286" t="s">
        <v>457</v>
      </c>
      <c r="I5" s="1297" t="s">
        <v>5</v>
      </c>
      <c r="J5" s="1279" t="s">
        <v>4</v>
      </c>
      <c r="K5" s="1280"/>
      <c r="L5" s="1297" t="s">
        <v>5</v>
      </c>
      <c r="M5" s="1239" t="s">
        <v>4</v>
      </c>
      <c r="N5" s="1319"/>
    </row>
    <row r="6" spans="1:14" s="1" customFormat="1" ht="12" customHeight="1" thickBot="1">
      <c r="A6" s="1317"/>
      <c r="B6" s="1205"/>
      <c r="C6" s="1301"/>
      <c r="D6" s="1283"/>
      <c r="E6" s="1294"/>
      <c r="F6" s="1296"/>
      <c r="G6" s="1283"/>
      <c r="H6" s="1287"/>
      <c r="I6" s="1298"/>
      <c r="J6" s="200" t="s">
        <v>6</v>
      </c>
      <c r="K6" s="201" t="s">
        <v>7</v>
      </c>
      <c r="L6" s="1298"/>
      <c r="M6" s="201" t="s">
        <v>6</v>
      </c>
      <c r="N6" s="201" t="s">
        <v>7</v>
      </c>
    </row>
    <row r="7" spans="1:14" s="814" customFormat="1" ht="12">
      <c r="A7" s="1228">
        <v>1</v>
      </c>
      <c r="B7" s="1189" t="s">
        <v>1210</v>
      </c>
      <c r="C7" s="1191" t="s">
        <v>99</v>
      </c>
      <c r="D7" s="1195" t="s">
        <v>27</v>
      </c>
      <c r="E7" s="1193" t="s">
        <v>383</v>
      </c>
      <c r="F7" s="1189">
        <f>G7+H7</f>
        <v>30</v>
      </c>
      <c r="G7" s="1197">
        <v>30</v>
      </c>
      <c r="H7" s="1197">
        <v>0</v>
      </c>
      <c r="I7" s="502">
        <f aca="true" t="shared" si="0" ref="I7:I12">J7+K7</f>
        <v>2</v>
      </c>
      <c r="J7" s="503">
        <v>2</v>
      </c>
      <c r="K7" s="506">
        <v>0</v>
      </c>
      <c r="L7" s="502">
        <f aca="true" t="shared" si="1" ref="L7:L12">M7+N7</f>
        <v>43</v>
      </c>
      <c r="M7" s="503">
        <v>37</v>
      </c>
      <c r="N7" s="502">
        <v>6</v>
      </c>
    </row>
    <row r="8" spans="1:14" s="814" customFormat="1" ht="50.25" customHeight="1" thickBot="1">
      <c r="A8" s="1229"/>
      <c r="B8" s="1190"/>
      <c r="C8" s="1192"/>
      <c r="D8" s="1196"/>
      <c r="E8" s="1194"/>
      <c r="F8" s="1190"/>
      <c r="G8" s="1198"/>
      <c r="H8" s="1198"/>
      <c r="I8" s="891">
        <f t="shared" si="0"/>
        <v>95.45</v>
      </c>
      <c r="J8" s="589">
        <v>95.45</v>
      </c>
      <c r="K8" s="953">
        <v>0</v>
      </c>
      <c r="L8" s="891">
        <f t="shared" si="1"/>
        <v>609</v>
      </c>
      <c r="M8" s="589">
        <v>539</v>
      </c>
      <c r="N8" s="891">
        <v>70</v>
      </c>
    </row>
    <row r="9" spans="1:14" s="266" customFormat="1" ht="12">
      <c r="A9" s="1167">
        <v>2</v>
      </c>
      <c r="B9" s="1169" t="s">
        <v>808</v>
      </c>
      <c r="C9" s="1232" t="s">
        <v>544</v>
      </c>
      <c r="D9" s="1173" t="s">
        <v>27</v>
      </c>
      <c r="E9" s="1169" t="s">
        <v>686</v>
      </c>
      <c r="F9" s="1169">
        <f>G9+H9</f>
        <v>1.266</v>
      </c>
      <c r="G9" s="1184">
        <v>1.266</v>
      </c>
      <c r="H9" s="1178">
        <v>0</v>
      </c>
      <c r="I9" s="644">
        <f t="shared" si="0"/>
        <v>0</v>
      </c>
      <c r="J9" s="646">
        <v>0</v>
      </c>
      <c r="K9" s="646">
        <v>0</v>
      </c>
      <c r="L9" s="644">
        <f t="shared" si="1"/>
        <v>1</v>
      </c>
      <c r="M9" s="645">
        <v>1</v>
      </c>
      <c r="N9" s="644">
        <v>0</v>
      </c>
    </row>
    <row r="10" spans="1:14" s="266" customFormat="1" ht="12.75" thickBot="1">
      <c r="A10" s="1168"/>
      <c r="B10" s="1170"/>
      <c r="C10" s="1233"/>
      <c r="D10" s="1174"/>
      <c r="E10" s="1170"/>
      <c r="F10" s="1170"/>
      <c r="G10" s="1185"/>
      <c r="H10" s="1179"/>
      <c r="I10" s="883">
        <f t="shared" si="0"/>
        <v>0</v>
      </c>
      <c r="J10" s="915">
        <v>0</v>
      </c>
      <c r="K10" s="915">
        <v>0</v>
      </c>
      <c r="L10" s="883">
        <f t="shared" si="1"/>
        <v>17</v>
      </c>
      <c r="M10" s="990">
        <v>17</v>
      </c>
      <c r="N10" s="883">
        <v>0</v>
      </c>
    </row>
    <row r="11" spans="1:14" s="266" customFormat="1" ht="12">
      <c r="A11" s="1167">
        <v>3</v>
      </c>
      <c r="B11" s="1173" t="s">
        <v>834</v>
      </c>
      <c r="C11" s="1182" t="s">
        <v>433</v>
      </c>
      <c r="D11" s="1169" t="s">
        <v>27</v>
      </c>
      <c r="E11" s="1173" t="s">
        <v>295</v>
      </c>
      <c r="F11" s="1178">
        <f>G11+H11</f>
        <v>27</v>
      </c>
      <c r="G11" s="1178">
        <v>27</v>
      </c>
      <c r="H11" s="1178">
        <v>0</v>
      </c>
      <c r="I11" s="644">
        <f t="shared" si="0"/>
        <v>2</v>
      </c>
      <c r="J11" s="645">
        <v>2</v>
      </c>
      <c r="K11" s="646">
        <v>0</v>
      </c>
      <c r="L11" s="644">
        <f t="shared" si="1"/>
        <v>20</v>
      </c>
      <c r="M11" s="645">
        <v>17</v>
      </c>
      <c r="N11" s="644">
        <v>3</v>
      </c>
    </row>
    <row r="12" spans="1:14" s="266" customFormat="1" ht="12.75" thickBot="1">
      <c r="A12" s="1168"/>
      <c r="B12" s="1174"/>
      <c r="C12" s="1183"/>
      <c r="D12" s="1170"/>
      <c r="E12" s="1174"/>
      <c r="F12" s="1179"/>
      <c r="G12" s="1179"/>
      <c r="H12" s="1179"/>
      <c r="I12" s="885">
        <f t="shared" si="0"/>
        <v>23.81</v>
      </c>
      <c r="J12" s="650">
        <f>11.7+12.11</f>
        <v>23.81</v>
      </c>
      <c r="K12" s="915">
        <v>0</v>
      </c>
      <c r="L12" s="883">
        <f t="shared" si="1"/>
        <v>357</v>
      </c>
      <c r="M12" s="990">
        <v>323</v>
      </c>
      <c r="N12" s="883">
        <v>34</v>
      </c>
    </row>
    <row r="13" spans="1:14" s="815" customFormat="1" ht="12">
      <c r="A13" s="1167">
        <v>4</v>
      </c>
      <c r="B13" s="1173" t="s">
        <v>835</v>
      </c>
      <c r="C13" s="1182" t="s">
        <v>385</v>
      </c>
      <c r="D13" s="1180" t="s">
        <v>27</v>
      </c>
      <c r="E13" s="1169" t="s">
        <v>92</v>
      </c>
      <c r="F13" s="1169">
        <f>G13+H13</f>
        <v>7.3</v>
      </c>
      <c r="G13" s="1178">
        <v>7.3</v>
      </c>
      <c r="H13" s="1178">
        <v>0</v>
      </c>
      <c r="I13" s="644">
        <f aca="true" t="shared" si="2" ref="I13:I18">J13+K13</f>
        <v>0</v>
      </c>
      <c r="J13" s="645">
        <v>0</v>
      </c>
      <c r="K13" s="646">
        <v>0</v>
      </c>
      <c r="L13" s="644">
        <f aca="true" t="shared" si="3" ref="L13:L18">M13+N13</f>
        <v>7</v>
      </c>
      <c r="M13" s="645">
        <v>4</v>
      </c>
      <c r="N13" s="644">
        <v>3</v>
      </c>
    </row>
    <row r="14" spans="1:14" s="815" customFormat="1" ht="12.75" thickBot="1">
      <c r="A14" s="1168"/>
      <c r="B14" s="1174"/>
      <c r="C14" s="1183"/>
      <c r="D14" s="1181"/>
      <c r="E14" s="1170"/>
      <c r="F14" s="1170"/>
      <c r="G14" s="1179"/>
      <c r="H14" s="1179"/>
      <c r="I14" s="883">
        <f t="shared" si="2"/>
        <v>0</v>
      </c>
      <c r="J14" s="990">
        <v>0</v>
      </c>
      <c r="K14" s="915">
        <v>0</v>
      </c>
      <c r="L14" s="883">
        <f t="shared" si="3"/>
        <v>119</v>
      </c>
      <c r="M14" s="990">
        <v>60</v>
      </c>
      <c r="N14" s="883">
        <v>59</v>
      </c>
    </row>
    <row r="15" spans="1:14" s="815" customFormat="1" ht="12">
      <c r="A15" s="1167">
        <v>5</v>
      </c>
      <c r="B15" s="1173" t="s">
        <v>836</v>
      </c>
      <c r="C15" s="1182" t="s">
        <v>499</v>
      </c>
      <c r="D15" s="1180" t="s">
        <v>27</v>
      </c>
      <c r="E15" s="1169" t="s">
        <v>695</v>
      </c>
      <c r="F15" s="1169">
        <f>G15+H15</f>
        <v>6.077</v>
      </c>
      <c r="G15" s="1169">
        <v>6.077</v>
      </c>
      <c r="H15" s="1169">
        <v>0</v>
      </c>
      <c r="I15" s="644">
        <f t="shared" si="2"/>
        <v>0</v>
      </c>
      <c r="J15" s="648">
        <v>0</v>
      </c>
      <c r="K15" s="646">
        <v>0</v>
      </c>
      <c r="L15" s="644">
        <f t="shared" si="3"/>
        <v>5</v>
      </c>
      <c r="M15" s="648">
        <v>4</v>
      </c>
      <c r="N15" s="644">
        <v>1</v>
      </c>
    </row>
    <row r="16" spans="1:14" s="815" customFormat="1" ht="12.75" thickBot="1">
      <c r="A16" s="1168"/>
      <c r="B16" s="1174"/>
      <c r="C16" s="1183"/>
      <c r="D16" s="1181"/>
      <c r="E16" s="1170"/>
      <c r="F16" s="1170"/>
      <c r="G16" s="1170"/>
      <c r="H16" s="1170"/>
      <c r="I16" s="883">
        <f t="shared" si="2"/>
        <v>0</v>
      </c>
      <c r="J16" s="611">
        <v>0</v>
      </c>
      <c r="K16" s="915">
        <v>0</v>
      </c>
      <c r="L16" s="883">
        <f t="shared" si="3"/>
        <v>80</v>
      </c>
      <c r="M16" s="611">
        <v>65</v>
      </c>
      <c r="N16" s="883">
        <v>15</v>
      </c>
    </row>
    <row r="17" spans="1:14" s="815" customFormat="1" ht="12">
      <c r="A17" s="1167">
        <v>6</v>
      </c>
      <c r="B17" s="1173" t="s">
        <v>837</v>
      </c>
      <c r="C17" s="1182" t="s">
        <v>386</v>
      </c>
      <c r="D17" s="1180" t="s">
        <v>27</v>
      </c>
      <c r="E17" s="1169" t="s">
        <v>1288</v>
      </c>
      <c r="F17" s="1184">
        <f>G17+H17</f>
        <v>3.931</v>
      </c>
      <c r="G17" s="1184">
        <v>3.931</v>
      </c>
      <c r="H17" s="1178">
        <v>0</v>
      </c>
      <c r="I17" s="644">
        <f t="shared" si="2"/>
        <v>0</v>
      </c>
      <c r="J17" s="645">
        <v>0</v>
      </c>
      <c r="K17" s="646">
        <v>0</v>
      </c>
      <c r="L17" s="644">
        <f t="shared" si="3"/>
        <v>2</v>
      </c>
      <c r="M17" s="645">
        <v>2</v>
      </c>
      <c r="N17" s="644">
        <v>0</v>
      </c>
    </row>
    <row r="18" spans="1:14" s="815" customFormat="1" ht="12.75" thickBot="1">
      <c r="A18" s="1168"/>
      <c r="B18" s="1174"/>
      <c r="C18" s="1183"/>
      <c r="D18" s="1181"/>
      <c r="E18" s="1170"/>
      <c r="F18" s="1185"/>
      <c r="G18" s="1185"/>
      <c r="H18" s="1179"/>
      <c r="I18" s="883">
        <f t="shared" si="2"/>
        <v>0</v>
      </c>
      <c r="J18" s="990">
        <v>0</v>
      </c>
      <c r="K18" s="915">
        <v>0</v>
      </c>
      <c r="L18" s="883">
        <f t="shared" si="3"/>
        <v>20</v>
      </c>
      <c r="M18" s="990">
        <v>20</v>
      </c>
      <c r="N18" s="883">
        <v>0</v>
      </c>
    </row>
    <row r="19" spans="1:14" s="266" customFormat="1" ht="12">
      <c r="A19" s="1167">
        <v>7</v>
      </c>
      <c r="B19" s="1169" t="s">
        <v>1001</v>
      </c>
      <c r="C19" s="1182" t="s">
        <v>285</v>
      </c>
      <c r="D19" s="1169" t="s">
        <v>27</v>
      </c>
      <c r="E19" s="1676" t="s">
        <v>1251</v>
      </c>
      <c r="F19" s="1184">
        <f>G19+H19</f>
        <v>27.021</v>
      </c>
      <c r="G19" s="1184">
        <v>27.021</v>
      </c>
      <c r="H19" s="1178">
        <v>0</v>
      </c>
      <c r="I19" s="644">
        <f aca="true" t="shared" si="4" ref="I19:I48">J19+K19</f>
        <v>0</v>
      </c>
      <c r="J19" s="645">
        <v>0</v>
      </c>
      <c r="K19" s="648">
        <v>0</v>
      </c>
      <c r="L19" s="644">
        <f aca="true" t="shared" si="5" ref="L19:L48">M19+N19</f>
        <v>17</v>
      </c>
      <c r="M19" s="645">
        <v>12</v>
      </c>
      <c r="N19" s="644">
        <v>5</v>
      </c>
    </row>
    <row r="20" spans="1:14" s="266" customFormat="1" ht="12.75" thickBot="1">
      <c r="A20" s="1168"/>
      <c r="B20" s="1170"/>
      <c r="C20" s="1183"/>
      <c r="D20" s="1170"/>
      <c r="E20" s="1677"/>
      <c r="F20" s="1185"/>
      <c r="G20" s="1185"/>
      <c r="H20" s="1179"/>
      <c r="I20" s="883">
        <f t="shared" si="4"/>
        <v>0</v>
      </c>
      <c r="J20" s="990">
        <v>0</v>
      </c>
      <c r="K20" s="611">
        <v>0</v>
      </c>
      <c r="L20" s="883">
        <f>M20+N20</f>
        <v>296</v>
      </c>
      <c r="M20" s="990">
        <v>237</v>
      </c>
      <c r="N20" s="883">
        <v>59</v>
      </c>
    </row>
    <row r="21" spans="1:14" s="266" customFormat="1" ht="12">
      <c r="A21" s="1167">
        <v>8</v>
      </c>
      <c r="B21" s="1169" t="s">
        <v>1002</v>
      </c>
      <c r="C21" s="1182" t="s">
        <v>432</v>
      </c>
      <c r="D21" s="1169" t="s">
        <v>27</v>
      </c>
      <c r="E21" s="1173" t="s">
        <v>563</v>
      </c>
      <c r="F21" s="1178">
        <f>G21+H21</f>
        <v>4.35</v>
      </c>
      <c r="G21" s="1178">
        <v>4.35</v>
      </c>
      <c r="H21" s="1178">
        <v>0</v>
      </c>
      <c r="I21" s="644">
        <f t="shared" si="4"/>
        <v>0</v>
      </c>
      <c r="J21" s="648">
        <v>0</v>
      </c>
      <c r="K21" s="646">
        <v>0</v>
      </c>
      <c r="L21" s="644">
        <f t="shared" si="5"/>
        <v>5</v>
      </c>
      <c r="M21" s="648">
        <v>2</v>
      </c>
      <c r="N21" s="644">
        <v>3</v>
      </c>
    </row>
    <row r="22" spans="1:14" s="266" customFormat="1" ht="12.75" thickBot="1">
      <c r="A22" s="1168"/>
      <c r="B22" s="1170"/>
      <c r="C22" s="1183"/>
      <c r="D22" s="1170"/>
      <c r="E22" s="1174"/>
      <c r="F22" s="1179"/>
      <c r="G22" s="1179"/>
      <c r="H22" s="1179"/>
      <c r="I22" s="883">
        <f t="shared" si="4"/>
        <v>0</v>
      </c>
      <c r="J22" s="611">
        <v>0</v>
      </c>
      <c r="K22" s="915">
        <v>0</v>
      </c>
      <c r="L22" s="883">
        <f>M22+N22</f>
        <v>52</v>
      </c>
      <c r="M22" s="611">
        <v>18</v>
      </c>
      <c r="N22" s="883">
        <v>34</v>
      </c>
    </row>
    <row r="23" spans="1:14" s="266" customFormat="1" ht="12">
      <c r="A23" s="1167">
        <v>9</v>
      </c>
      <c r="B23" s="1169" t="s">
        <v>1003</v>
      </c>
      <c r="C23" s="1182" t="s">
        <v>432</v>
      </c>
      <c r="D23" s="1169" t="s">
        <v>27</v>
      </c>
      <c r="E23" s="1169" t="s">
        <v>111</v>
      </c>
      <c r="F23" s="1178">
        <f>G23+H23</f>
        <v>1.3</v>
      </c>
      <c r="G23" s="1178">
        <v>1.3</v>
      </c>
      <c r="H23" s="1178">
        <v>0</v>
      </c>
      <c r="I23" s="644">
        <f t="shared" si="4"/>
        <v>0</v>
      </c>
      <c r="J23" s="645">
        <v>0</v>
      </c>
      <c r="K23" s="646">
        <v>0</v>
      </c>
      <c r="L23" s="644">
        <f t="shared" si="5"/>
        <v>1</v>
      </c>
      <c r="M23" s="645">
        <v>0</v>
      </c>
      <c r="N23" s="644">
        <v>1</v>
      </c>
    </row>
    <row r="24" spans="1:14" s="266" customFormat="1" ht="12.75" thickBot="1">
      <c r="A24" s="1168"/>
      <c r="B24" s="1170"/>
      <c r="C24" s="1183"/>
      <c r="D24" s="1170"/>
      <c r="E24" s="1170"/>
      <c r="F24" s="1179"/>
      <c r="G24" s="1179"/>
      <c r="H24" s="1179"/>
      <c r="I24" s="883">
        <f t="shared" si="4"/>
        <v>0</v>
      </c>
      <c r="J24" s="990">
        <v>0</v>
      </c>
      <c r="K24" s="915">
        <v>0</v>
      </c>
      <c r="L24" s="883">
        <f t="shared" si="5"/>
        <v>11</v>
      </c>
      <c r="M24" s="990">
        <v>0</v>
      </c>
      <c r="N24" s="883">
        <v>11</v>
      </c>
    </row>
    <row r="25" spans="1:14" s="266" customFormat="1" ht="12">
      <c r="A25" s="1167">
        <v>10</v>
      </c>
      <c r="B25" s="1169" t="s">
        <v>1004</v>
      </c>
      <c r="C25" s="1182" t="s">
        <v>286</v>
      </c>
      <c r="D25" s="1180" t="s">
        <v>102</v>
      </c>
      <c r="E25" s="1180" t="s">
        <v>1340</v>
      </c>
      <c r="F25" s="1184">
        <f>G25+H25</f>
        <v>1.998</v>
      </c>
      <c r="G25" s="1184">
        <v>1.998</v>
      </c>
      <c r="H25" s="1178">
        <v>0</v>
      </c>
      <c r="I25" s="644">
        <f t="shared" si="4"/>
        <v>0</v>
      </c>
      <c r="J25" s="645">
        <v>0</v>
      </c>
      <c r="K25" s="648">
        <v>0</v>
      </c>
      <c r="L25" s="644">
        <f t="shared" si="5"/>
        <v>2</v>
      </c>
      <c r="M25" s="645">
        <v>2</v>
      </c>
      <c r="N25" s="644">
        <v>0</v>
      </c>
    </row>
    <row r="26" spans="1:14" s="266" customFormat="1" ht="12.75" thickBot="1">
      <c r="A26" s="1168"/>
      <c r="B26" s="1170"/>
      <c r="C26" s="1183"/>
      <c r="D26" s="1181"/>
      <c r="E26" s="1181"/>
      <c r="F26" s="1185"/>
      <c r="G26" s="1185"/>
      <c r="H26" s="1179"/>
      <c r="I26" s="883">
        <f t="shared" si="4"/>
        <v>0</v>
      </c>
      <c r="J26" s="990">
        <v>0</v>
      </c>
      <c r="K26" s="611">
        <v>0</v>
      </c>
      <c r="L26" s="883">
        <f t="shared" si="5"/>
        <v>48</v>
      </c>
      <c r="M26" s="990">
        <v>48</v>
      </c>
      <c r="N26" s="883">
        <v>0</v>
      </c>
    </row>
    <row r="27" spans="1:14" s="266" customFormat="1" ht="12">
      <c r="A27" s="1167">
        <v>11</v>
      </c>
      <c r="B27" s="1169" t="s">
        <v>1005</v>
      </c>
      <c r="C27" s="1182" t="s">
        <v>287</v>
      </c>
      <c r="D27" s="1169" t="s">
        <v>49</v>
      </c>
      <c r="E27" s="1180" t="s">
        <v>1321</v>
      </c>
      <c r="F27" s="1184">
        <f>G27+H27</f>
        <v>0.619</v>
      </c>
      <c r="G27" s="1184">
        <v>0.619</v>
      </c>
      <c r="H27" s="1178">
        <v>0</v>
      </c>
      <c r="I27" s="644">
        <f t="shared" si="4"/>
        <v>0</v>
      </c>
      <c r="J27" s="648">
        <v>0</v>
      </c>
      <c r="K27" s="646">
        <v>0</v>
      </c>
      <c r="L27" s="644">
        <f t="shared" si="5"/>
        <v>1</v>
      </c>
      <c r="M27" s="648">
        <v>0</v>
      </c>
      <c r="N27" s="644">
        <v>1</v>
      </c>
    </row>
    <row r="28" spans="1:14" s="266" customFormat="1" ht="12.75" thickBot="1">
      <c r="A28" s="1168"/>
      <c r="B28" s="1170"/>
      <c r="C28" s="1183"/>
      <c r="D28" s="1170"/>
      <c r="E28" s="1181"/>
      <c r="F28" s="1185"/>
      <c r="G28" s="1185"/>
      <c r="H28" s="1179"/>
      <c r="I28" s="883">
        <f t="shared" si="4"/>
        <v>0</v>
      </c>
      <c r="J28" s="611">
        <v>0</v>
      </c>
      <c r="K28" s="915">
        <v>0</v>
      </c>
      <c r="L28" s="883">
        <f t="shared" si="5"/>
        <v>11</v>
      </c>
      <c r="M28" s="611">
        <v>0</v>
      </c>
      <c r="N28" s="883">
        <v>11</v>
      </c>
    </row>
    <row r="29" spans="1:14" s="266" customFormat="1" ht="12">
      <c r="A29" s="1167">
        <v>12</v>
      </c>
      <c r="B29" s="1169" t="s">
        <v>1006</v>
      </c>
      <c r="C29" s="1182" t="s">
        <v>288</v>
      </c>
      <c r="D29" s="1169" t="s">
        <v>27</v>
      </c>
      <c r="E29" s="1169" t="s">
        <v>1252</v>
      </c>
      <c r="F29" s="1184">
        <f>G29+H29</f>
        <v>8.798</v>
      </c>
      <c r="G29" s="1184">
        <v>8.798</v>
      </c>
      <c r="H29" s="1178">
        <v>0</v>
      </c>
      <c r="I29" s="644">
        <f t="shared" si="4"/>
        <v>0</v>
      </c>
      <c r="J29" s="645">
        <v>0</v>
      </c>
      <c r="K29" s="646">
        <v>0</v>
      </c>
      <c r="L29" s="644">
        <f t="shared" si="5"/>
        <v>7</v>
      </c>
      <c r="M29" s="645">
        <v>7</v>
      </c>
      <c r="N29" s="644">
        <v>0</v>
      </c>
    </row>
    <row r="30" spans="1:14" s="266" customFormat="1" ht="12.75" thickBot="1">
      <c r="A30" s="1168"/>
      <c r="B30" s="1170"/>
      <c r="C30" s="1183"/>
      <c r="D30" s="1170"/>
      <c r="E30" s="1170"/>
      <c r="F30" s="1185"/>
      <c r="G30" s="1185"/>
      <c r="H30" s="1179"/>
      <c r="I30" s="883">
        <f t="shared" si="4"/>
        <v>0</v>
      </c>
      <c r="J30" s="990">
        <v>0</v>
      </c>
      <c r="K30" s="915">
        <v>0</v>
      </c>
      <c r="L30" s="883">
        <f t="shared" si="5"/>
        <v>105</v>
      </c>
      <c r="M30" s="990">
        <v>105</v>
      </c>
      <c r="N30" s="883">
        <v>0</v>
      </c>
    </row>
    <row r="31" spans="1:14" s="266" customFormat="1" ht="12">
      <c r="A31" s="1167">
        <v>13</v>
      </c>
      <c r="B31" s="1169" t="s">
        <v>1007</v>
      </c>
      <c r="C31" s="1182" t="s">
        <v>289</v>
      </c>
      <c r="D31" s="1169" t="s">
        <v>49</v>
      </c>
      <c r="E31" s="1169" t="s">
        <v>1253</v>
      </c>
      <c r="F31" s="1184">
        <f>G31+H31</f>
        <v>1.462</v>
      </c>
      <c r="G31" s="1184">
        <v>1</v>
      </c>
      <c r="H31" s="1184">
        <v>0.462</v>
      </c>
      <c r="I31" s="644">
        <f t="shared" si="4"/>
        <v>0</v>
      </c>
      <c r="J31" s="648">
        <v>0</v>
      </c>
      <c r="K31" s="646">
        <v>0</v>
      </c>
      <c r="L31" s="644">
        <f t="shared" si="5"/>
        <v>0</v>
      </c>
      <c r="M31" s="648">
        <v>0</v>
      </c>
      <c r="N31" s="644">
        <v>0</v>
      </c>
    </row>
    <row r="32" spans="1:14" s="266" customFormat="1" ht="12.75" thickBot="1">
      <c r="A32" s="1168"/>
      <c r="B32" s="1170"/>
      <c r="C32" s="1183"/>
      <c r="D32" s="1170"/>
      <c r="E32" s="1170"/>
      <c r="F32" s="1185"/>
      <c r="G32" s="1185"/>
      <c r="H32" s="1185"/>
      <c r="I32" s="883">
        <f t="shared" si="4"/>
        <v>0</v>
      </c>
      <c r="J32" s="611">
        <v>0</v>
      </c>
      <c r="K32" s="915">
        <v>0</v>
      </c>
      <c r="L32" s="883">
        <f t="shared" si="5"/>
        <v>0</v>
      </c>
      <c r="M32" s="611">
        <v>0</v>
      </c>
      <c r="N32" s="883">
        <v>0</v>
      </c>
    </row>
    <row r="33" spans="1:14" s="266" customFormat="1" ht="12">
      <c r="A33" s="1167">
        <v>14</v>
      </c>
      <c r="B33" s="1169" t="s">
        <v>1008</v>
      </c>
      <c r="C33" s="1182" t="s">
        <v>290</v>
      </c>
      <c r="D33" s="1169" t="s">
        <v>49</v>
      </c>
      <c r="E33" s="1169" t="s">
        <v>1322</v>
      </c>
      <c r="F33" s="1184">
        <f>G33+H33</f>
        <v>5.348</v>
      </c>
      <c r="G33" s="1184">
        <v>0</v>
      </c>
      <c r="H33" s="1184">
        <v>5.348</v>
      </c>
      <c r="I33" s="644">
        <f t="shared" si="4"/>
        <v>0</v>
      </c>
      <c r="J33" s="645">
        <v>0</v>
      </c>
      <c r="K33" s="646">
        <v>0</v>
      </c>
      <c r="L33" s="644">
        <f t="shared" si="5"/>
        <v>2</v>
      </c>
      <c r="M33" s="645">
        <v>0</v>
      </c>
      <c r="N33" s="644">
        <v>2</v>
      </c>
    </row>
    <row r="34" spans="1:14" s="266" customFormat="1" ht="12.75" thickBot="1">
      <c r="A34" s="1168"/>
      <c r="B34" s="1170"/>
      <c r="C34" s="1183"/>
      <c r="D34" s="1170"/>
      <c r="E34" s="1170"/>
      <c r="F34" s="1185"/>
      <c r="G34" s="1185"/>
      <c r="H34" s="1185"/>
      <c r="I34" s="883">
        <f t="shared" si="4"/>
        <v>0</v>
      </c>
      <c r="J34" s="990">
        <v>0</v>
      </c>
      <c r="K34" s="915">
        <v>0</v>
      </c>
      <c r="L34" s="883">
        <f t="shared" si="5"/>
        <v>24</v>
      </c>
      <c r="M34" s="990">
        <v>0</v>
      </c>
      <c r="N34" s="883">
        <v>24</v>
      </c>
    </row>
    <row r="35" spans="1:14" s="266" customFormat="1" ht="12">
      <c r="A35" s="1167">
        <v>15</v>
      </c>
      <c r="B35" s="1169" t="s">
        <v>1009</v>
      </c>
      <c r="C35" s="1232" t="s">
        <v>291</v>
      </c>
      <c r="D35" s="1169" t="s">
        <v>27</v>
      </c>
      <c r="E35" s="1169" t="s">
        <v>250</v>
      </c>
      <c r="F35" s="1178">
        <f>G35+H35</f>
        <v>0.9</v>
      </c>
      <c r="G35" s="1178">
        <v>0</v>
      </c>
      <c r="H35" s="1178">
        <v>0.9</v>
      </c>
      <c r="I35" s="644">
        <f t="shared" si="4"/>
        <v>0</v>
      </c>
      <c r="J35" s="645">
        <v>0</v>
      </c>
      <c r="K35" s="646">
        <v>0</v>
      </c>
      <c r="L35" s="644">
        <f t="shared" si="5"/>
        <v>0</v>
      </c>
      <c r="M35" s="645">
        <v>0</v>
      </c>
      <c r="N35" s="644">
        <v>0</v>
      </c>
    </row>
    <row r="36" spans="1:14" s="266" customFormat="1" ht="12.75" thickBot="1">
      <c r="A36" s="1168"/>
      <c r="B36" s="1170"/>
      <c r="C36" s="1233"/>
      <c r="D36" s="1170"/>
      <c r="E36" s="1170"/>
      <c r="F36" s="1179"/>
      <c r="G36" s="1179"/>
      <c r="H36" s="1179"/>
      <c r="I36" s="883">
        <f t="shared" si="4"/>
        <v>0</v>
      </c>
      <c r="J36" s="990">
        <v>0</v>
      </c>
      <c r="K36" s="915">
        <v>0</v>
      </c>
      <c r="L36" s="883">
        <f t="shared" si="5"/>
        <v>0</v>
      </c>
      <c r="M36" s="990">
        <v>0</v>
      </c>
      <c r="N36" s="883">
        <v>0</v>
      </c>
    </row>
    <row r="37" spans="1:14" s="266" customFormat="1" ht="12">
      <c r="A37" s="1167">
        <v>16</v>
      </c>
      <c r="B37" s="1169" t="s">
        <v>1010</v>
      </c>
      <c r="C37" s="1182" t="s">
        <v>292</v>
      </c>
      <c r="D37" s="1169" t="s">
        <v>27</v>
      </c>
      <c r="E37" s="1180" t="s">
        <v>1287</v>
      </c>
      <c r="F37" s="1184">
        <f>G37+H37</f>
        <v>36.762</v>
      </c>
      <c r="G37" s="1184">
        <v>36.762</v>
      </c>
      <c r="H37" s="1178">
        <v>0</v>
      </c>
      <c r="I37" s="644">
        <f t="shared" si="4"/>
        <v>4</v>
      </c>
      <c r="J37" s="645">
        <v>4</v>
      </c>
      <c r="K37" s="646">
        <v>0</v>
      </c>
      <c r="L37" s="644">
        <f t="shared" si="5"/>
        <v>22</v>
      </c>
      <c r="M37" s="645">
        <v>16</v>
      </c>
      <c r="N37" s="644">
        <v>6</v>
      </c>
    </row>
    <row r="38" spans="1:14" s="266" customFormat="1" ht="12.75" thickBot="1">
      <c r="A38" s="1168"/>
      <c r="B38" s="1170"/>
      <c r="C38" s="1183"/>
      <c r="D38" s="1170"/>
      <c r="E38" s="1181"/>
      <c r="F38" s="1185"/>
      <c r="G38" s="1185"/>
      <c r="H38" s="1179"/>
      <c r="I38" s="883">
        <f t="shared" si="4"/>
        <v>221.44</v>
      </c>
      <c r="J38" s="990">
        <v>221.44</v>
      </c>
      <c r="K38" s="915">
        <v>0</v>
      </c>
      <c r="L38" s="883">
        <f t="shared" si="5"/>
        <v>261</v>
      </c>
      <c r="M38" s="990">
        <v>196</v>
      </c>
      <c r="N38" s="883">
        <v>65</v>
      </c>
    </row>
    <row r="39" spans="1:14" s="266" customFormat="1" ht="12">
      <c r="A39" s="1167">
        <v>17</v>
      </c>
      <c r="B39" s="1169" t="s">
        <v>1011</v>
      </c>
      <c r="C39" s="1182" t="s">
        <v>293</v>
      </c>
      <c r="D39" s="1169" t="s">
        <v>49</v>
      </c>
      <c r="E39" s="1169" t="s">
        <v>1216</v>
      </c>
      <c r="F39" s="1184">
        <f>G39+H39</f>
        <v>3.414</v>
      </c>
      <c r="G39" s="1184">
        <v>0</v>
      </c>
      <c r="H39" s="1184">
        <v>3.414</v>
      </c>
      <c r="I39" s="644">
        <f t="shared" si="4"/>
        <v>0</v>
      </c>
      <c r="J39" s="645">
        <v>0</v>
      </c>
      <c r="K39" s="646">
        <v>0</v>
      </c>
      <c r="L39" s="644">
        <f t="shared" si="5"/>
        <v>2</v>
      </c>
      <c r="M39" s="645">
        <v>1</v>
      </c>
      <c r="N39" s="644">
        <v>1</v>
      </c>
    </row>
    <row r="40" spans="1:14" s="266" customFormat="1" ht="12.75" thickBot="1">
      <c r="A40" s="1168"/>
      <c r="B40" s="1170"/>
      <c r="C40" s="1183"/>
      <c r="D40" s="1170"/>
      <c r="E40" s="1170"/>
      <c r="F40" s="1185"/>
      <c r="G40" s="1185"/>
      <c r="H40" s="1185"/>
      <c r="I40" s="883">
        <f t="shared" si="4"/>
        <v>0</v>
      </c>
      <c r="J40" s="990">
        <v>0</v>
      </c>
      <c r="K40" s="915">
        <v>0</v>
      </c>
      <c r="L40" s="883">
        <f t="shared" si="5"/>
        <v>32</v>
      </c>
      <c r="M40" s="990">
        <v>20</v>
      </c>
      <c r="N40" s="883">
        <v>12</v>
      </c>
    </row>
    <row r="41" spans="1:14" s="266" customFormat="1" ht="12">
      <c r="A41" s="1167">
        <v>18</v>
      </c>
      <c r="B41" s="1169" t="s">
        <v>1012</v>
      </c>
      <c r="C41" s="1182" t="s">
        <v>294</v>
      </c>
      <c r="D41" s="1169" t="s">
        <v>49</v>
      </c>
      <c r="E41" s="1169" t="s">
        <v>1217</v>
      </c>
      <c r="F41" s="1184">
        <f>G41+H41</f>
        <v>8.99</v>
      </c>
      <c r="G41" s="1184">
        <v>0</v>
      </c>
      <c r="H41" s="1184">
        <v>8.99</v>
      </c>
      <c r="I41" s="644">
        <f t="shared" si="4"/>
        <v>0</v>
      </c>
      <c r="J41" s="645">
        <v>0</v>
      </c>
      <c r="K41" s="646">
        <v>0</v>
      </c>
      <c r="L41" s="644">
        <f t="shared" si="5"/>
        <v>9</v>
      </c>
      <c r="M41" s="645">
        <v>1</v>
      </c>
      <c r="N41" s="644">
        <v>8</v>
      </c>
    </row>
    <row r="42" spans="1:14" s="266" customFormat="1" ht="12.75" thickBot="1">
      <c r="A42" s="1168"/>
      <c r="B42" s="1170"/>
      <c r="C42" s="1183"/>
      <c r="D42" s="1170"/>
      <c r="E42" s="1170"/>
      <c r="F42" s="1185"/>
      <c r="G42" s="1185"/>
      <c r="H42" s="1185"/>
      <c r="I42" s="883">
        <f t="shared" si="4"/>
        <v>0</v>
      </c>
      <c r="J42" s="990">
        <v>0</v>
      </c>
      <c r="K42" s="915">
        <v>0</v>
      </c>
      <c r="L42" s="883">
        <f t="shared" si="5"/>
        <v>115</v>
      </c>
      <c r="M42" s="990">
        <v>11</v>
      </c>
      <c r="N42" s="883">
        <v>104</v>
      </c>
    </row>
    <row r="43" spans="1:14" s="266" customFormat="1" ht="12">
      <c r="A43" s="1167">
        <v>19</v>
      </c>
      <c r="B43" s="1169" t="s">
        <v>1013</v>
      </c>
      <c r="C43" s="1182" t="s">
        <v>296</v>
      </c>
      <c r="D43" s="1169" t="s">
        <v>49</v>
      </c>
      <c r="E43" s="1173" t="s">
        <v>297</v>
      </c>
      <c r="F43" s="1178">
        <f>G43+H43</f>
        <v>5.1</v>
      </c>
      <c r="G43" s="1178">
        <v>0.25</v>
      </c>
      <c r="H43" s="1178">
        <v>4.85</v>
      </c>
      <c r="I43" s="644">
        <f t="shared" si="4"/>
        <v>0</v>
      </c>
      <c r="J43" s="645">
        <v>0</v>
      </c>
      <c r="K43" s="646">
        <v>0</v>
      </c>
      <c r="L43" s="644">
        <f t="shared" si="5"/>
        <v>2</v>
      </c>
      <c r="M43" s="645">
        <v>2</v>
      </c>
      <c r="N43" s="644">
        <v>0</v>
      </c>
    </row>
    <row r="44" spans="1:14" s="266" customFormat="1" ht="12.75" thickBot="1">
      <c r="A44" s="1168"/>
      <c r="B44" s="1170"/>
      <c r="C44" s="1183"/>
      <c r="D44" s="1170"/>
      <c r="E44" s="1174"/>
      <c r="F44" s="1179"/>
      <c r="G44" s="1179"/>
      <c r="H44" s="1179"/>
      <c r="I44" s="883">
        <f t="shared" si="4"/>
        <v>0</v>
      </c>
      <c r="J44" s="990">
        <v>0</v>
      </c>
      <c r="K44" s="915">
        <v>0</v>
      </c>
      <c r="L44" s="883">
        <f t="shared" si="5"/>
        <v>22</v>
      </c>
      <c r="M44" s="990">
        <v>22</v>
      </c>
      <c r="N44" s="883">
        <v>0</v>
      </c>
    </row>
    <row r="45" spans="1:14" s="266" customFormat="1" ht="12">
      <c r="A45" s="1167">
        <v>20</v>
      </c>
      <c r="B45" s="1169" t="s">
        <v>1014</v>
      </c>
      <c r="C45" s="1182" t="s">
        <v>298</v>
      </c>
      <c r="D45" s="1169" t="s">
        <v>49</v>
      </c>
      <c r="E45" s="1173" t="s">
        <v>48</v>
      </c>
      <c r="F45" s="1178">
        <f>G45+H45</f>
        <v>6.8</v>
      </c>
      <c r="G45" s="1178">
        <v>0</v>
      </c>
      <c r="H45" s="1178">
        <v>6.8</v>
      </c>
      <c r="I45" s="644">
        <f t="shared" si="4"/>
        <v>0</v>
      </c>
      <c r="J45" s="645">
        <v>0</v>
      </c>
      <c r="K45" s="646">
        <v>0</v>
      </c>
      <c r="L45" s="644">
        <f t="shared" si="5"/>
        <v>2</v>
      </c>
      <c r="M45" s="645">
        <v>1</v>
      </c>
      <c r="N45" s="644">
        <v>1</v>
      </c>
    </row>
    <row r="46" spans="1:14" s="266" customFormat="1" ht="12.75" thickBot="1">
      <c r="A46" s="1168"/>
      <c r="B46" s="1170"/>
      <c r="C46" s="1183"/>
      <c r="D46" s="1170"/>
      <c r="E46" s="1174"/>
      <c r="F46" s="1179"/>
      <c r="G46" s="1179"/>
      <c r="H46" s="1179"/>
      <c r="I46" s="883">
        <f t="shared" si="4"/>
        <v>0</v>
      </c>
      <c r="J46" s="990">
        <v>0</v>
      </c>
      <c r="K46" s="915">
        <v>0</v>
      </c>
      <c r="L46" s="883">
        <f t="shared" si="5"/>
        <v>26</v>
      </c>
      <c r="M46" s="990">
        <v>15</v>
      </c>
      <c r="N46" s="883">
        <v>11</v>
      </c>
    </row>
    <row r="47" spans="1:14" s="266" customFormat="1" ht="12">
      <c r="A47" s="1167">
        <v>21</v>
      </c>
      <c r="B47" s="1169" t="s">
        <v>1015</v>
      </c>
      <c r="C47" s="1182" t="s">
        <v>299</v>
      </c>
      <c r="D47" s="1169" t="s">
        <v>27</v>
      </c>
      <c r="E47" s="1180" t="s">
        <v>1254</v>
      </c>
      <c r="F47" s="1184">
        <f>G47+H47</f>
        <v>26.891</v>
      </c>
      <c r="G47" s="1184">
        <v>26.891</v>
      </c>
      <c r="H47" s="1178">
        <v>0</v>
      </c>
      <c r="I47" s="644">
        <f t="shared" si="4"/>
        <v>0</v>
      </c>
      <c r="J47" s="645">
        <v>0</v>
      </c>
      <c r="K47" s="646">
        <v>0</v>
      </c>
      <c r="L47" s="644">
        <f t="shared" si="5"/>
        <v>19</v>
      </c>
      <c r="M47" s="645">
        <v>19</v>
      </c>
      <c r="N47" s="644">
        <v>0</v>
      </c>
    </row>
    <row r="48" spans="1:14" s="266" customFormat="1" ht="12.75" thickBot="1">
      <c r="A48" s="1168"/>
      <c r="B48" s="1170"/>
      <c r="C48" s="1183"/>
      <c r="D48" s="1170"/>
      <c r="E48" s="1181"/>
      <c r="F48" s="1185"/>
      <c r="G48" s="1185"/>
      <c r="H48" s="1179"/>
      <c r="I48" s="883">
        <f t="shared" si="4"/>
        <v>0</v>
      </c>
      <c r="J48" s="990">
        <v>0</v>
      </c>
      <c r="K48" s="915">
        <v>0</v>
      </c>
      <c r="L48" s="883">
        <f t="shared" si="5"/>
        <v>297</v>
      </c>
      <c r="M48" s="990">
        <v>297</v>
      </c>
      <c r="N48" s="883">
        <v>0</v>
      </c>
    </row>
    <row r="49" spans="1:14" s="266" customFormat="1" ht="12">
      <c r="A49" s="1167">
        <v>22</v>
      </c>
      <c r="B49" s="1169" t="s">
        <v>1016</v>
      </c>
      <c r="C49" s="1182" t="s">
        <v>300</v>
      </c>
      <c r="D49" s="1169" t="s">
        <v>49</v>
      </c>
      <c r="E49" s="1173" t="s">
        <v>1256</v>
      </c>
      <c r="F49" s="1184">
        <f>G49+H49</f>
        <v>9.228</v>
      </c>
      <c r="G49" s="1184">
        <v>0</v>
      </c>
      <c r="H49" s="1184">
        <v>9.228</v>
      </c>
      <c r="I49" s="644">
        <f aca="true" t="shared" si="6" ref="I49:I82">J49+K49</f>
        <v>0</v>
      </c>
      <c r="J49" s="645">
        <v>0</v>
      </c>
      <c r="K49" s="646">
        <v>0</v>
      </c>
      <c r="L49" s="644">
        <f aca="true" t="shared" si="7" ref="L49:L60">M49+N49</f>
        <v>7</v>
      </c>
      <c r="M49" s="645">
        <v>5</v>
      </c>
      <c r="N49" s="644">
        <v>2</v>
      </c>
    </row>
    <row r="50" spans="1:14" s="266" customFormat="1" ht="12.75" thickBot="1">
      <c r="A50" s="1168"/>
      <c r="B50" s="1170"/>
      <c r="C50" s="1183"/>
      <c r="D50" s="1170"/>
      <c r="E50" s="1174"/>
      <c r="F50" s="1185"/>
      <c r="G50" s="1185"/>
      <c r="H50" s="1185"/>
      <c r="I50" s="883">
        <f t="shared" si="6"/>
        <v>0</v>
      </c>
      <c r="J50" s="990">
        <v>0</v>
      </c>
      <c r="K50" s="915">
        <v>0</v>
      </c>
      <c r="L50" s="883">
        <f t="shared" si="7"/>
        <v>109</v>
      </c>
      <c r="M50" s="990">
        <v>82</v>
      </c>
      <c r="N50" s="883">
        <v>27</v>
      </c>
    </row>
    <row r="51" spans="1:14" s="266" customFormat="1" ht="12">
      <c r="A51" s="1167">
        <v>23</v>
      </c>
      <c r="B51" s="1169" t="s">
        <v>1017</v>
      </c>
      <c r="C51" s="1182" t="s">
        <v>301</v>
      </c>
      <c r="D51" s="1169" t="s">
        <v>27</v>
      </c>
      <c r="E51" s="1180" t="s">
        <v>1255</v>
      </c>
      <c r="F51" s="1184">
        <f>G51+H51</f>
        <v>4.366</v>
      </c>
      <c r="G51" s="1184">
        <v>0</v>
      </c>
      <c r="H51" s="1184">
        <v>4.366</v>
      </c>
      <c r="I51" s="644">
        <f t="shared" si="6"/>
        <v>0</v>
      </c>
      <c r="J51" s="645">
        <v>0</v>
      </c>
      <c r="K51" s="646">
        <v>0</v>
      </c>
      <c r="L51" s="644">
        <f t="shared" si="7"/>
        <v>3</v>
      </c>
      <c r="M51" s="645">
        <v>3</v>
      </c>
      <c r="N51" s="644">
        <v>0</v>
      </c>
    </row>
    <row r="52" spans="1:14" s="266" customFormat="1" ht="12.75" thickBot="1">
      <c r="A52" s="1168"/>
      <c r="B52" s="1170"/>
      <c r="C52" s="1183"/>
      <c r="D52" s="1170"/>
      <c r="E52" s="1181"/>
      <c r="F52" s="1185"/>
      <c r="G52" s="1185"/>
      <c r="H52" s="1185"/>
      <c r="I52" s="883">
        <f t="shared" si="6"/>
        <v>0</v>
      </c>
      <c r="J52" s="990">
        <v>0</v>
      </c>
      <c r="K52" s="915">
        <v>0</v>
      </c>
      <c r="L52" s="883">
        <f t="shared" si="7"/>
        <v>58</v>
      </c>
      <c r="M52" s="990">
        <v>58</v>
      </c>
      <c r="N52" s="883">
        <v>0</v>
      </c>
    </row>
    <row r="53" spans="1:14" s="266" customFormat="1" ht="24.75" customHeight="1">
      <c r="A53" s="1167">
        <v>24</v>
      </c>
      <c r="B53" s="1169" t="s">
        <v>1018</v>
      </c>
      <c r="C53" s="1182" t="s">
        <v>302</v>
      </c>
      <c r="D53" s="1169" t="s">
        <v>49</v>
      </c>
      <c r="E53" s="1173" t="s">
        <v>109</v>
      </c>
      <c r="F53" s="1178">
        <f>G53+H53</f>
        <v>6</v>
      </c>
      <c r="G53" s="1178">
        <v>0</v>
      </c>
      <c r="H53" s="1178">
        <v>6</v>
      </c>
      <c r="I53" s="644">
        <f t="shared" si="6"/>
        <v>0</v>
      </c>
      <c r="J53" s="645">
        <v>0</v>
      </c>
      <c r="K53" s="646">
        <v>0</v>
      </c>
      <c r="L53" s="644">
        <f t="shared" si="7"/>
        <v>5</v>
      </c>
      <c r="M53" s="645">
        <v>4</v>
      </c>
      <c r="N53" s="644">
        <v>1</v>
      </c>
    </row>
    <row r="54" spans="1:14" s="266" customFormat="1" ht="12.75" thickBot="1">
      <c r="A54" s="1168"/>
      <c r="B54" s="1170"/>
      <c r="C54" s="1183"/>
      <c r="D54" s="1170"/>
      <c r="E54" s="1174"/>
      <c r="F54" s="1179"/>
      <c r="G54" s="1179"/>
      <c r="H54" s="1179"/>
      <c r="I54" s="883">
        <f t="shared" si="6"/>
        <v>0</v>
      </c>
      <c r="J54" s="990">
        <v>0</v>
      </c>
      <c r="K54" s="915">
        <v>0</v>
      </c>
      <c r="L54" s="883">
        <f t="shared" si="7"/>
        <v>72</v>
      </c>
      <c r="M54" s="990">
        <v>61</v>
      </c>
      <c r="N54" s="883">
        <v>11</v>
      </c>
    </row>
    <row r="55" spans="1:14" s="266" customFormat="1" ht="12">
      <c r="A55" s="1167">
        <v>25</v>
      </c>
      <c r="B55" s="1169" t="s">
        <v>1019</v>
      </c>
      <c r="C55" s="1182" t="s">
        <v>303</v>
      </c>
      <c r="D55" s="1169" t="s">
        <v>49</v>
      </c>
      <c r="E55" s="1173" t="s">
        <v>1341</v>
      </c>
      <c r="F55" s="1184">
        <f>G55+H55</f>
        <v>8.164</v>
      </c>
      <c r="G55" s="1184">
        <v>0</v>
      </c>
      <c r="H55" s="1184">
        <v>8.164</v>
      </c>
      <c r="I55" s="644">
        <f t="shared" si="6"/>
        <v>0</v>
      </c>
      <c r="J55" s="645">
        <v>0</v>
      </c>
      <c r="K55" s="646">
        <v>0</v>
      </c>
      <c r="L55" s="644">
        <f t="shared" si="7"/>
        <v>7</v>
      </c>
      <c r="M55" s="648">
        <v>7</v>
      </c>
      <c r="N55" s="644">
        <v>0</v>
      </c>
    </row>
    <row r="56" spans="1:14" s="266" customFormat="1" ht="12.75" thickBot="1">
      <c r="A56" s="1168"/>
      <c r="B56" s="1170"/>
      <c r="C56" s="1183"/>
      <c r="D56" s="1170"/>
      <c r="E56" s="1174"/>
      <c r="F56" s="1185"/>
      <c r="G56" s="1185"/>
      <c r="H56" s="1185"/>
      <c r="I56" s="883">
        <f t="shared" si="6"/>
        <v>0</v>
      </c>
      <c r="J56" s="990">
        <v>0</v>
      </c>
      <c r="K56" s="915">
        <v>0</v>
      </c>
      <c r="L56" s="883">
        <f t="shared" si="7"/>
        <v>113</v>
      </c>
      <c r="M56" s="611">
        <v>113</v>
      </c>
      <c r="N56" s="883">
        <v>0</v>
      </c>
    </row>
    <row r="57" spans="1:14" s="266" customFormat="1" ht="12">
      <c r="A57" s="1167">
        <v>26</v>
      </c>
      <c r="B57" s="1169" t="s">
        <v>1020</v>
      </c>
      <c r="C57" s="1182" t="s">
        <v>304</v>
      </c>
      <c r="D57" s="1169" t="s">
        <v>49</v>
      </c>
      <c r="E57" s="1779" t="s">
        <v>1342</v>
      </c>
      <c r="F57" s="1184">
        <f>G57+H57</f>
        <v>1.813</v>
      </c>
      <c r="G57" s="1184">
        <v>0</v>
      </c>
      <c r="H57" s="1184">
        <v>1.813</v>
      </c>
      <c r="I57" s="644">
        <f t="shared" si="6"/>
        <v>0</v>
      </c>
      <c r="J57" s="645">
        <v>0</v>
      </c>
      <c r="K57" s="646">
        <v>0</v>
      </c>
      <c r="L57" s="644">
        <f t="shared" si="7"/>
        <v>1</v>
      </c>
      <c r="M57" s="645">
        <v>1</v>
      </c>
      <c r="N57" s="644">
        <v>0</v>
      </c>
    </row>
    <row r="58" spans="1:14" s="266" customFormat="1" ht="12.75" thickBot="1">
      <c r="A58" s="1168"/>
      <c r="B58" s="1170"/>
      <c r="C58" s="1183"/>
      <c r="D58" s="1170"/>
      <c r="E58" s="1780"/>
      <c r="F58" s="1185"/>
      <c r="G58" s="1185"/>
      <c r="H58" s="1185"/>
      <c r="I58" s="883">
        <f t="shared" si="6"/>
        <v>0</v>
      </c>
      <c r="J58" s="990">
        <v>0</v>
      </c>
      <c r="K58" s="915">
        <v>0</v>
      </c>
      <c r="L58" s="883">
        <f t="shared" si="7"/>
        <v>16</v>
      </c>
      <c r="M58" s="990">
        <v>16</v>
      </c>
      <c r="N58" s="883">
        <v>0</v>
      </c>
    </row>
    <row r="59" spans="1:14" s="266" customFormat="1" ht="12">
      <c r="A59" s="1167">
        <v>27</v>
      </c>
      <c r="B59" s="1169" t="s">
        <v>1021</v>
      </c>
      <c r="C59" s="1182" t="s">
        <v>305</v>
      </c>
      <c r="D59" s="1169" t="s">
        <v>49</v>
      </c>
      <c r="E59" s="1173" t="s">
        <v>1343</v>
      </c>
      <c r="F59" s="1184">
        <f>G59+H59</f>
        <v>1.476</v>
      </c>
      <c r="G59" s="1184">
        <v>0</v>
      </c>
      <c r="H59" s="1184">
        <v>1.476</v>
      </c>
      <c r="I59" s="644">
        <f t="shared" si="6"/>
        <v>0</v>
      </c>
      <c r="J59" s="645">
        <v>0</v>
      </c>
      <c r="K59" s="646">
        <v>0</v>
      </c>
      <c r="L59" s="644">
        <f t="shared" si="7"/>
        <v>1</v>
      </c>
      <c r="M59" s="645">
        <v>1</v>
      </c>
      <c r="N59" s="644">
        <v>0</v>
      </c>
    </row>
    <row r="60" spans="1:14" s="266" customFormat="1" ht="12.75" thickBot="1">
      <c r="A60" s="1168"/>
      <c r="B60" s="1170"/>
      <c r="C60" s="1183"/>
      <c r="D60" s="1170"/>
      <c r="E60" s="1174"/>
      <c r="F60" s="1185"/>
      <c r="G60" s="1185"/>
      <c r="H60" s="1185"/>
      <c r="I60" s="883">
        <f t="shared" si="6"/>
        <v>0</v>
      </c>
      <c r="J60" s="990">
        <v>0</v>
      </c>
      <c r="K60" s="915">
        <v>0</v>
      </c>
      <c r="L60" s="883">
        <f t="shared" si="7"/>
        <v>16</v>
      </c>
      <c r="M60" s="990">
        <v>16</v>
      </c>
      <c r="N60" s="883">
        <v>0</v>
      </c>
    </row>
    <row r="61" spans="1:14" s="266" customFormat="1" ht="12">
      <c r="A61" s="1167">
        <v>28</v>
      </c>
      <c r="B61" s="1169" t="s">
        <v>1022</v>
      </c>
      <c r="C61" s="1182" t="s">
        <v>307</v>
      </c>
      <c r="D61" s="1169" t="s">
        <v>27</v>
      </c>
      <c r="E61" s="1173" t="s">
        <v>23</v>
      </c>
      <c r="F61" s="1178">
        <f>G61+H61</f>
        <v>11.4</v>
      </c>
      <c r="G61" s="1178">
        <v>2.5</v>
      </c>
      <c r="H61" s="1178">
        <v>8.9</v>
      </c>
      <c r="I61" s="644">
        <f aca="true" t="shared" si="8" ref="I61:I72">J61+K61</f>
        <v>1</v>
      </c>
      <c r="J61" s="645">
        <v>1</v>
      </c>
      <c r="K61" s="646">
        <v>0</v>
      </c>
      <c r="L61" s="644">
        <f aca="true" t="shared" si="9" ref="L61:L72">M61+N61</f>
        <v>4</v>
      </c>
      <c r="M61" s="645">
        <v>3</v>
      </c>
      <c r="N61" s="644">
        <v>1</v>
      </c>
    </row>
    <row r="62" spans="1:14" s="266" customFormat="1" ht="12.75" thickBot="1">
      <c r="A62" s="1168"/>
      <c r="B62" s="1170"/>
      <c r="C62" s="1183"/>
      <c r="D62" s="1170"/>
      <c r="E62" s="1174"/>
      <c r="F62" s="1179"/>
      <c r="G62" s="1179"/>
      <c r="H62" s="1179"/>
      <c r="I62" s="885">
        <f t="shared" si="8"/>
        <v>6.44</v>
      </c>
      <c r="J62" s="650">
        <v>6.44</v>
      </c>
      <c r="K62" s="915">
        <v>0</v>
      </c>
      <c r="L62" s="883">
        <f t="shared" si="9"/>
        <v>50</v>
      </c>
      <c r="M62" s="990">
        <v>39</v>
      </c>
      <c r="N62" s="883">
        <v>11</v>
      </c>
    </row>
    <row r="63" spans="1:14" s="266" customFormat="1" ht="12">
      <c r="A63" s="1167">
        <v>29</v>
      </c>
      <c r="B63" s="1169" t="s">
        <v>1023</v>
      </c>
      <c r="C63" s="1182" t="s">
        <v>308</v>
      </c>
      <c r="D63" s="1169" t="s">
        <v>49</v>
      </c>
      <c r="E63" s="1173" t="s">
        <v>120</v>
      </c>
      <c r="F63" s="1178">
        <f>G63+H63</f>
        <v>5</v>
      </c>
      <c r="G63" s="1178">
        <v>5</v>
      </c>
      <c r="H63" s="1178">
        <v>0</v>
      </c>
      <c r="I63" s="644">
        <f t="shared" si="8"/>
        <v>0</v>
      </c>
      <c r="J63" s="645">
        <v>0</v>
      </c>
      <c r="K63" s="646">
        <v>0</v>
      </c>
      <c r="L63" s="644">
        <f t="shared" si="9"/>
        <v>4</v>
      </c>
      <c r="M63" s="645">
        <v>4</v>
      </c>
      <c r="N63" s="644">
        <v>0</v>
      </c>
    </row>
    <row r="64" spans="1:14" s="266" customFormat="1" ht="12.75" thickBot="1">
      <c r="A64" s="1168"/>
      <c r="B64" s="1170"/>
      <c r="C64" s="1183"/>
      <c r="D64" s="1170"/>
      <c r="E64" s="1174"/>
      <c r="F64" s="1179"/>
      <c r="G64" s="1179"/>
      <c r="H64" s="1179"/>
      <c r="I64" s="883">
        <f t="shared" si="8"/>
        <v>0</v>
      </c>
      <c r="J64" s="990">
        <v>0</v>
      </c>
      <c r="K64" s="915">
        <v>0</v>
      </c>
      <c r="L64" s="883">
        <f t="shared" si="9"/>
        <v>67</v>
      </c>
      <c r="M64" s="990">
        <v>67</v>
      </c>
      <c r="N64" s="883">
        <v>0</v>
      </c>
    </row>
    <row r="65" spans="1:14" s="266" customFormat="1" ht="12">
      <c r="A65" s="1167">
        <v>30</v>
      </c>
      <c r="B65" s="1169" t="s">
        <v>1024</v>
      </c>
      <c r="C65" s="1182" t="s">
        <v>309</v>
      </c>
      <c r="D65" s="1169" t="s">
        <v>49</v>
      </c>
      <c r="E65" s="1173" t="s">
        <v>43</v>
      </c>
      <c r="F65" s="1178">
        <f>G65+H65</f>
        <v>3</v>
      </c>
      <c r="G65" s="1178">
        <v>3</v>
      </c>
      <c r="H65" s="1178">
        <v>0</v>
      </c>
      <c r="I65" s="644">
        <f t="shared" si="8"/>
        <v>0</v>
      </c>
      <c r="J65" s="645">
        <v>0</v>
      </c>
      <c r="K65" s="646">
        <v>0</v>
      </c>
      <c r="L65" s="644">
        <f t="shared" si="9"/>
        <v>1</v>
      </c>
      <c r="M65" s="645">
        <v>1</v>
      </c>
      <c r="N65" s="644">
        <v>0</v>
      </c>
    </row>
    <row r="66" spans="1:14" s="266" customFormat="1" ht="12.75" thickBot="1">
      <c r="A66" s="1168"/>
      <c r="B66" s="1170"/>
      <c r="C66" s="1183"/>
      <c r="D66" s="1170"/>
      <c r="E66" s="1174"/>
      <c r="F66" s="1179"/>
      <c r="G66" s="1179"/>
      <c r="H66" s="1179"/>
      <c r="I66" s="883">
        <f t="shared" si="8"/>
        <v>0</v>
      </c>
      <c r="J66" s="990">
        <v>0</v>
      </c>
      <c r="K66" s="915">
        <v>0</v>
      </c>
      <c r="L66" s="883">
        <f t="shared" si="9"/>
        <v>18</v>
      </c>
      <c r="M66" s="990">
        <v>18</v>
      </c>
      <c r="N66" s="883">
        <v>0</v>
      </c>
    </row>
    <row r="67" spans="1:14" s="266" customFormat="1" ht="12">
      <c r="A67" s="1167">
        <v>31</v>
      </c>
      <c r="B67" s="1169" t="s">
        <v>1025</v>
      </c>
      <c r="C67" s="1182" t="s">
        <v>463</v>
      </c>
      <c r="D67" s="1169" t="s">
        <v>49</v>
      </c>
      <c r="E67" s="1173" t="s">
        <v>310</v>
      </c>
      <c r="F67" s="1178">
        <f>G67+H67</f>
        <v>13.3</v>
      </c>
      <c r="G67" s="1178">
        <v>2</v>
      </c>
      <c r="H67" s="1178">
        <v>11.3</v>
      </c>
      <c r="I67" s="644">
        <f t="shared" si="8"/>
        <v>0</v>
      </c>
      <c r="J67" s="645">
        <v>0</v>
      </c>
      <c r="K67" s="646">
        <v>0</v>
      </c>
      <c r="L67" s="644">
        <f t="shared" si="9"/>
        <v>5</v>
      </c>
      <c r="M67" s="645">
        <v>3</v>
      </c>
      <c r="N67" s="644">
        <v>2</v>
      </c>
    </row>
    <row r="68" spans="1:14" s="266" customFormat="1" ht="12.75" thickBot="1">
      <c r="A68" s="1168"/>
      <c r="B68" s="1170"/>
      <c r="C68" s="1183"/>
      <c r="D68" s="1170"/>
      <c r="E68" s="1174"/>
      <c r="F68" s="1179"/>
      <c r="G68" s="1179"/>
      <c r="H68" s="1179"/>
      <c r="I68" s="883">
        <f t="shared" si="8"/>
        <v>0</v>
      </c>
      <c r="J68" s="990">
        <v>0</v>
      </c>
      <c r="K68" s="915">
        <v>0</v>
      </c>
      <c r="L68" s="883">
        <f t="shared" si="9"/>
        <v>65</v>
      </c>
      <c r="M68" s="990">
        <v>35</v>
      </c>
      <c r="N68" s="883">
        <v>30</v>
      </c>
    </row>
    <row r="69" spans="1:14" s="266" customFormat="1" ht="12">
      <c r="A69" s="1167">
        <v>32</v>
      </c>
      <c r="B69" s="1169" t="s">
        <v>1026</v>
      </c>
      <c r="C69" s="1182" t="s">
        <v>311</v>
      </c>
      <c r="D69" s="1169" t="s">
        <v>49</v>
      </c>
      <c r="E69" s="1173" t="s">
        <v>1219</v>
      </c>
      <c r="F69" s="1184">
        <f>G69+H69</f>
        <v>11.401</v>
      </c>
      <c r="G69" s="1184">
        <v>0</v>
      </c>
      <c r="H69" s="1184">
        <v>11.401</v>
      </c>
      <c r="I69" s="644">
        <f t="shared" si="8"/>
        <v>0</v>
      </c>
      <c r="J69" s="645">
        <v>0</v>
      </c>
      <c r="K69" s="646">
        <v>0</v>
      </c>
      <c r="L69" s="644">
        <f t="shared" si="9"/>
        <v>7</v>
      </c>
      <c r="M69" s="645">
        <v>5</v>
      </c>
      <c r="N69" s="644">
        <v>2</v>
      </c>
    </row>
    <row r="70" spans="1:14" s="266" customFormat="1" ht="12.75" thickBot="1">
      <c r="A70" s="1168"/>
      <c r="B70" s="1170"/>
      <c r="C70" s="1183"/>
      <c r="D70" s="1170"/>
      <c r="E70" s="1174"/>
      <c r="F70" s="1185"/>
      <c r="G70" s="1185"/>
      <c r="H70" s="1185"/>
      <c r="I70" s="883">
        <f t="shared" si="8"/>
        <v>0</v>
      </c>
      <c r="J70" s="990">
        <v>0</v>
      </c>
      <c r="K70" s="915">
        <v>0</v>
      </c>
      <c r="L70" s="883">
        <f t="shared" si="9"/>
        <v>77</v>
      </c>
      <c r="M70" s="990">
        <v>54</v>
      </c>
      <c r="N70" s="883">
        <v>23</v>
      </c>
    </row>
    <row r="71" spans="1:14" s="266" customFormat="1" ht="12">
      <c r="A71" s="1167">
        <v>33</v>
      </c>
      <c r="B71" s="1169" t="s">
        <v>1027</v>
      </c>
      <c r="C71" s="1182" t="s">
        <v>453</v>
      </c>
      <c r="D71" s="1169" t="s">
        <v>49</v>
      </c>
      <c r="E71" s="1173" t="s">
        <v>1323</v>
      </c>
      <c r="F71" s="1184">
        <f>G71+H71</f>
        <v>3.106</v>
      </c>
      <c r="G71" s="1184">
        <v>0</v>
      </c>
      <c r="H71" s="1184">
        <v>3.106</v>
      </c>
      <c r="I71" s="644">
        <f t="shared" si="8"/>
        <v>0</v>
      </c>
      <c r="J71" s="644">
        <v>0</v>
      </c>
      <c r="K71" s="644">
        <v>0</v>
      </c>
      <c r="L71" s="644">
        <f t="shared" si="9"/>
        <v>7</v>
      </c>
      <c r="M71" s="644">
        <v>6</v>
      </c>
      <c r="N71" s="644">
        <v>1</v>
      </c>
    </row>
    <row r="72" spans="1:14" s="266" customFormat="1" ht="13.5" customHeight="1" thickBot="1">
      <c r="A72" s="1168"/>
      <c r="B72" s="1170"/>
      <c r="C72" s="1183"/>
      <c r="D72" s="1170"/>
      <c r="E72" s="1174"/>
      <c r="F72" s="1185"/>
      <c r="G72" s="1185"/>
      <c r="H72" s="1185"/>
      <c r="I72" s="883">
        <f t="shared" si="8"/>
        <v>0</v>
      </c>
      <c r="J72" s="883">
        <v>0</v>
      </c>
      <c r="K72" s="883">
        <v>0</v>
      </c>
      <c r="L72" s="883">
        <f t="shared" si="9"/>
        <v>119</v>
      </c>
      <c r="M72" s="883">
        <v>95</v>
      </c>
      <c r="N72" s="883">
        <v>24</v>
      </c>
    </row>
    <row r="73" spans="1:14" s="266" customFormat="1" ht="12">
      <c r="A73" s="1167">
        <v>34</v>
      </c>
      <c r="B73" s="1169" t="s">
        <v>1028</v>
      </c>
      <c r="C73" s="1182" t="s">
        <v>306</v>
      </c>
      <c r="D73" s="1169" t="s">
        <v>49</v>
      </c>
      <c r="E73" s="1173" t="s">
        <v>1218</v>
      </c>
      <c r="F73" s="1184">
        <f>G73+H73</f>
        <v>4.132</v>
      </c>
      <c r="G73" s="1184">
        <v>0</v>
      </c>
      <c r="H73" s="1184">
        <v>4.132</v>
      </c>
      <c r="I73" s="644">
        <f t="shared" si="6"/>
        <v>0</v>
      </c>
      <c r="J73" s="648">
        <v>0</v>
      </c>
      <c r="K73" s="644">
        <v>0</v>
      </c>
      <c r="L73" s="645">
        <f aca="true" t="shared" si="10" ref="L73:L82">M73+N73</f>
        <v>2</v>
      </c>
      <c r="M73" s="645">
        <v>1</v>
      </c>
      <c r="N73" s="644">
        <v>1</v>
      </c>
    </row>
    <row r="74" spans="1:14" s="266" customFormat="1" ht="12.75" thickBot="1">
      <c r="A74" s="1168"/>
      <c r="B74" s="1170"/>
      <c r="C74" s="1183"/>
      <c r="D74" s="1170"/>
      <c r="E74" s="1174"/>
      <c r="F74" s="1185"/>
      <c r="G74" s="1185"/>
      <c r="H74" s="1185"/>
      <c r="I74" s="883">
        <f t="shared" si="6"/>
        <v>0</v>
      </c>
      <c r="J74" s="611">
        <v>0</v>
      </c>
      <c r="K74" s="883">
        <v>0</v>
      </c>
      <c r="L74" s="990">
        <f t="shared" si="10"/>
        <v>30</v>
      </c>
      <c r="M74" s="990">
        <v>18</v>
      </c>
      <c r="N74" s="883">
        <v>12</v>
      </c>
    </row>
    <row r="75" spans="1:14" s="266" customFormat="1" ht="12">
      <c r="A75" s="1167">
        <v>35</v>
      </c>
      <c r="B75" s="1169" t="s">
        <v>1029</v>
      </c>
      <c r="C75" s="1182" t="s">
        <v>496</v>
      </c>
      <c r="D75" s="1169" t="s">
        <v>49</v>
      </c>
      <c r="E75" s="1173" t="s">
        <v>1263</v>
      </c>
      <c r="F75" s="1184">
        <f>G75+H75</f>
        <v>0.479</v>
      </c>
      <c r="G75" s="1178">
        <v>0</v>
      </c>
      <c r="H75" s="1184">
        <v>0.479</v>
      </c>
      <c r="I75" s="644">
        <f t="shared" si="6"/>
        <v>0</v>
      </c>
      <c r="J75" s="645">
        <v>0</v>
      </c>
      <c r="K75" s="646">
        <v>0</v>
      </c>
      <c r="L75" s="644">
        <f t="shared" si="10"/>
        <v>0</v>
      </c>
      <c r="M75" s="645">
        <v>0</v>
      </c>
      <c r="N75" s="644">
        <v>0</v>
      </c>
    </row>
    <row r="76" spans="1:14" s="266" customFormat="1" ht="12.75" thickBot="1">
      <c r="A76" s="1168"/>
      <c r="B76" s="1170"/>
      <c r="C76" s="1183"/>
      <c r="D76" s="1170"/>
      <c r="E76" s="1174"/>
      <c r="F76" s="1185"/>
      <c r="G76" s="1179"/>
      <c r="H76" s="1185"/>
      <c r="I76" s="883">
        <f t="shared" si="6"/>
        <v>0</v>
      </c>
      <c r="J76" s="990">
        <v>0</v>
      </c>
      <c r="K76" s="915">
        <v>0</v>
      </c>
      <c r="L76" s="883">
        <f t="shared" si="10"/>
        <v>0</v>
      </c>
      <c r="M76" s="990">
        <v>0</v>
      </c>
      <c r="N76" s="883">
        <v>0</v>
      </c>
    </row>
    <row r="77" spans="1:14" s="815" customFormat="1" ht="12">
      <c r="A77" s="1167">
        <v>36</v>
      </c>
      <c r="B77" s="1173" t="s">
        <v>1030</v>
      </c>
      <c r="C77" s="1232" t="s">
        <v>388</v>
      </c>
      <c r="D77" s="1180" t="s">
        <v>27</v>
      </c>
      <c r="E77" s="1169" t="s">
        <v>591</v>
      </c>
      <c r="F77" s="1178">
        <f>G77+H77</f>
        <v>8.78</v>
      </c>
      <c r="G77" s="1178">
        <v>8.78</v>
      </c>
      <c r="H77" s="1178">
        <v>0</v>
      </c>
      <c r="I77" s="644">
        <f>J77+K77</f>
        <v>0</v>
      </c>
      <c r="J77" s="645">
        <v>0</v>
      </c>
      <c r="K77" s="646">
        <v>0</v>
      </c>
      <c r="L77" s="644">
        <f t="shared" si="10"/>
        <v>8</v>
      </c>
      <c r="M77" s="645">
        <v>8</v>
      </c>
      <c r="N77" s="644">
        <v>0</v>
      </c>
    </row>
    <row r="78" spans="1:14" s="815" customFormat="1" ht="12.75" thickBot="1">
      <c r="A78" s="1168"/>
      <c r="B78" s="1174"/>
      <c r="C78" s="1233"/>
      <c r="D78" s="1181"/>
      <c r="E78" s="1170"/>
      <c r="F78" s="1179"/>
      <c r="G78" s="1179"/>
      <c r="H78" s="1179"/>
      <c r="I78" s="883">
        <f>J78+K78</f>
        <v>0</v>
      </c>
      <c r="J78" s="990">
        <v>0</v>
      </c>
      <c r="K78" s="915">
        <v>0</v>
      </c>
      <c r="L78" s="883">
        <f t="shared" si="10"/>
        <v>99</v>
      </c>
      <c r="M78" s="990">
        <v>99</v>
      </c>
      <c r="N78" s="883">
        <v>0</v>
      </c>
    </row>
    <row r="79" spans="1:14" s="815" customFormat="1" ht="12">
      <c r="A79" s="1167">
        <v>37</v>
      </c>
      <c r="B79" s="1173" t="s">
        <v>1031</v>
      </c>
      <c r="C79" s="1232" t="s">
        <v>387</v>
      </c>
      <c r="D79" s="1180" t="s">
        <v>27</v>
      </c>
      <c r="E79" s="1169" t="s">
        <v>11</v>
      </c>
      <c r="F79" s="1178">
        <f>G79+H79</f>
        <v>3.2</v>
      </c>
      <c r="G79" s="1178">
        <v>3.2</v>
      </c>
      <c r="H79" s="1178">
        <v>0</v>
      </c>
      <c r="I79" s="644">
        <f>J79+K79</f>
        <v>0</v>
      </c>
      <c r="J79" s="645">
        <v>0</v>
      </c>
      <c r="K79" s="646">
        <v>0</v>
      </c>
      <c r="L79" s="644">
        <f t="shared" si="10"/>
        <v>11</v>
      </c>
      <c r="M79" s="645">
        <v>4</v>
      </c>
      <c r="N79" s="644">
        <v>7</v>
      </c>
    </row>
    <row r="80" spans="1:14" s="815" customFormat="1" ht="12.75" thickBot="1">
      <c r="A80" s="1168"/>
      <c r="B80" s="1174"/>
      <c r="C80" s="1233"/>
      <c r="D80" s="1181"/>
      <c r="E80" s="1170"/>
      <c r="F80" s="1179"/>
      <c r="G80" s="1179"/>
      <c r="H80" s="1179"/>
      <c r="I80" s="883">
        <f>J80+K80</f>
        <v>0</v>
      </c>
      <c r="J80" s="990">
        <v>0</v>
      </c>
      <c r="K80" s="915">
        <v>0</v>
      </c>
      <c r="L80" s="883">
        <f t="shared" si="10"/>
        <v>126</v>
      </c>
      <c r="M80" s="990">
        <v>54</v>
      </c>
      <c r="N80" s="883">
        <v>72</v>
      </c>
    </row>
    <row r="81" spans="1:14" s="1" customFormat="1" ht="12.75" hidden="1" thickBot="1">
      <c r="A81" s="160">
        <v>32</v>
      </c>
      <c r="B81" s="10"/>
      <c r="C81" s="23"/>
      <c r="D81" s="42"/>
      <c r="E81" s="23"/>
      <c r="F81" s="26">
        <f>G81+H81</f>
        <v>0</v>
      </c>
      <c r="G81" s="34"/>
      <c r="H81" s="28"/>
      <c r="I81" s="10">
        <f t="shared" si="6"/>
        <v>0</v>
      </c>
      <c r="J81" s="30"/>
      <c r="K81" s="29"/>
      <c r="L81" s="10">
        <f t="shared" si="10"/>
        <v>0</v>
      </c>
      <c r="M81" s="30"/>
      <c r="N81" s="10"/>
    </row>
    <row r="82" spans="1:14" s="1" customFormat="1" ht="12.75" hidden="1" thickBot="1">
      <c r="A82" s="789"/>
      <c r="B82" s="10"/>
      <c r="C82" s="23"/>
      <c r="D82" s="42"/>
      <c r="E82" s="23"/>
      <c r="F82" s="12"/>
      <c r="G82" s="34"/>
      <c r="H82" s="28"/>
      <c r="I82" s="12">
        <f t="shared" si="6"/>
        <v>0</v>
      </c>
      <c r="J82" s="16"/>
      <c r="K82" s="15"/>
      <c r="L82" s="12">
        <f t="shared" si="10"/>
        <v>0</v>
      </c>
      <c r="M82" s="16"/>
      <c r="N82" s="12"/>
    </row>
    <row r="83" spans="1:14" s="1" customFormat="1" ht="12.75" hidden="1" thickBot="1">
      <c r="A83" s="788">
        <v>33</v>
      </c>
      <c r="B83" s="9"/>
      <c r="C83" s="21"/>
      <c r="D83" s="37"/>
      <c r="E83" s="21"/>
      <c r="F83" s="24">
        <f>G83+H83</f>
        <v>0</v>
      </c>
      <c r="G83" s="32"/>
      <c r="H83" s="27"/>
      <c r="I83" s="9">
        <f aca="true" t="shared" si="11" ref="I83:I96">J83+K83</f>
        <v>0</v>
      </c>
      <c r="J83" s="30"/>
      <c r="K83" s="29"/>
      <c r="L83" s="9">
        <f aca="true" t="shared" si="12" ref="L83:L94">M83+N83</f>
        <v>0</v>
      </c>
      <c r="M83" s="30"/>
      <c r="N83" s="10"/>
    </row>
    <row r="84" spans="1:14" s="1" customFormat="1" ht="12.75" hidden="1" thickBot="1">
      <c r="A84" s="789"/>
      <c r="B84" s="12"/>
      <c r="C84" s="22"/>
      <c r="D84" s="38"/>
      <c r="E84" s="22"/>
      <c r="F84" s="12"/>
      <c r="G84" s="35"/>
      <c r="H84" s="36"/>
      <c r="I84" s="12">
        <f t="shared" si="11"/>
        <v>0</v>
      </c>
      <c r="J84" s="30"/>
      <c r="K84" s="29"/>
      <c r="L84" s="12">
        <f t="shared" si="12"/>
        <v>0</v>
      </c>
      <c r="M84" s="30"/>
      <c r="N84" s="10"/>
    </row>
    <row r="85" spans="1:14" s="1" customFormat="1" ht="12.75" hidden="1" thickBot="1">
      <c r="A85" s="788">
        <v>34</v>
      </c>
      <c r="B85" s="9"/>
      <c r="C85" s="21"/>
      <c r="D85" s="37"/>
      <c r="E85" s="21"/>
      <c r="F85" s="24">
        <f>G85+H85</f>
        <v>0</v>
      </c>
      <c r="G85" s="32"/>
      <c r="H85" s="27"/>
      <c r="I85" s="9">
        <f t="shared" si="11"/>
        <v>0</v>
      </c>
      <c r="J85" s="14"/>
      <c r="K85" s="13"/>
      <c r="L85" s="9">
        <f t="shared" si="12"/>
        <v>0</v>
      </c>
      <c r="M85" s="14"/>
      <c r="N85" s="9"/>
    </row>
    <row r="86" spans="1:14" s="1" customFormat="1" ht="12.75" hidden="1" thickBot="1">
      <c r="A86" s="789"/>
      <c r="B86" s="12"/>
      <c r="C86" s="22"/>
      <c r="D86" s="38"/>
      <c r="E86" s="22"/>
      <c r="F86" s="12"/>
      <c r="G86" s="35"/>
      <c r="H86" s="36"/>
      <c r="I86" s="12">
        <f t="shared" si="11"/>
        <v>0</v>
      </c>
      <c r="J86" s="16"/>
      <c r="K86" s="15"/>
      <c r="L86" s="12">
        <f t="shared" si="12"/>
        <v>0</v>
      </c>
      <c r="M86" s="16"/>
      <c r="N86" s="12"/>
    </row>
    <row r="87" spans="1:14" s="1" customFormat="1" ht="12.75" hidden="1" thickBot="1">
      <c r="A87" s="160">
        <v>35</v>
      </c>
      <c r="B87" s="10"/>
      <c r="C87" s="23"/>
      <c r="D87" s="37"/>
      <c r="E87" s="23"/>
      <c r="F87" s="24">
        <f>G87+H87</f>
        <v>0</v>
      </c>
      <c r="G87" s="34"/>
      <c r="H87" s="28"/>
      <c r="I87" s="9">
        <f t="shared" si="11"/>
        <v>0</v>
      </c>
      <c r="J87" s="30"/>
      <c r="K87" s="29"/>
      <c r="L87" s="9">
        <f t="shared" si="12"/>
        <v>0</v>
      </c>
      <c r="M87" s="30"/>
      <c r="N87" s="10"/>
    </row>
    <row r="88" spans="1:14" s="1" customFormat="1" ht="12.75" hidden="1" thickBot="1">
      <c r="A88" s="160"/>
      <c r="B88" s="10"/>
      <c r="C88" s="23"/>
      <c r="D88" s="42"/>
      <c r="E88" s="23"/>
      <c r="F88" s="12"/>
      <c r="G88" s="34"/>
      <c r="H88" s="28"/>
      <c r="I88" s="12">
        <f t="shared" si="11"/>
        <v>0</v>
      </c>
      <c r="J88" s="30"/>
      <c r="K88" s="29"/>
      <c r="L88" s="12">
        <f t="shared" si="12"/>
        <v>0</v>
      </c>
      <c r="M88" s="30"/>
      <c r="N88" s="10"/>
    </row>
    <row r="89" spans="1:14" s="1" customFormat="1" ht="12.75" hidden="1" thickBot="1">
      <c r="A89" s="788">
        <v>36</v>
      </c>
      <c r="B89" s="9"/>
      <c r="C89" s="18"/>
      <c r="D89" s="37"/>
      <c r="E89" s="21"/>
      <c r="F89" s="24">
        <f>G89+H89</f>
        <v>0</v>
      </c>
      <c r="G89" s="32"/>
      <c r="H89" s="27"/>
      <c r="I89" s="9">
        <f t="shared" si="11"/>
        <v>0</v>
      </c>
      <c r="J89" s="14"/>
      <c r="K89" s="13"/>
      <c r="L89" s="9">
        <f t="shared" si="12"/>
        <v>0</v>
      </c>
      <c r="M89" s="14"/>
      <c r="N89" s="9"/>
    </row>
    <row r="90" spans="1:14" s="1" customFormat="1" ht="12.75" hidden="1" thickBot="1">
      <c r="A90" s="789"/>
      <c r="B90" s="12"/>
      <c r="C90" s="20"/>
      <c r="D90" s="38"/>
      <c r="E90" s="22"/>
      <c r="F90" s="12"/>
      <c r="G90" s="35"/>
      <c r="H90" s="36"/>
      <c r="I90" s="12">
        <f t="shared" si="11"/>
        <v>0</v>
      </c>
      <c r="J90" s="16"/>
      <c r="K90" s="15"/>
      <c r="L90" s="12">
        <f t="shared" si="12"/>
        <v>0</v>
      </c>
      <c r="M90" s="16"/>
      <c r="N90" s="12"/>
    </row>
    <row r="91" spans="1:14" s="1" customFormat="1" ht="13.5" customHeight="1" hidden="1">
      <c r="A91" s="788">
        <v>37</v>
      </c>
      <c r="B91" s="9"/>
      <c r="C91" s="21"/>
      <c r="D91" s="37"/>
      <c r="E91" s="21"/>
      <c r="F91" s="24">
        <f>G91+H91</f>
        <v>0</v>
      </c>
      <c r="G91" s="32"/>
      <c r="H91" s="27"/>
      <c r="I91" s="9">
        <f t="shared" si="11"/>
        <v>0</v>
      </c>
      <c r="J91" s="14"/>
      <c r="K91" s="13"/>
      <c r="L91" s="9">
        <f t="shared" si="12"/>
        <v>0</v>
      </c>
      <c r="M91" s="14"/>
      <c r="N91" s="9"/>
    </row>
    <row r="92" spans="1:14" s="1" customFormat="1" ht="13.5" customHeight="1" hidden="1">
      <c r="A92" s="789"/>
      <c r="B92" s="12"/>
      <c r="C92" s="22"/>
      <c r="D92" s="38"/>
      <c r="E92" s="22"/>
      <c r="F92" s="12"/>
      <c r="G92" s="35"/>
      <c r="H92" s="36"/>
      <c r="I92" s="12">
        <f t="shared" si="11"/>
        <v>0</v>
      </c>
      <c r="J92" s="16"/>
      <c r="K92" s="15"/>
      <c r="L92" s="12">
        <f t="shared" si="12"/>
        <v>0</v>
      </c>
      <c r="M92" s="16"/>
      <c r="N92" s="12"/>
    </row>
    <row r="93" spans="1:14" s="1" customFormat="1" ht="13.5" customHeight="1" hidden="1">
      <c r="A93" s="788">
        <v>38</v>
      </c>
      <c r="B93" s="10"/>
      <c r="C93" s="23"/>
      <c r="D93" s="37"/>
      <c r="E93" s="23"/>
      <c r="F93" s="24">
        <f>G93+H93</f>
        <v>0</v>
      </c>
      <c r="G93" s="34"/>
      <c r="H93" s="28"/>
      <c r="I93" s="9">
        <f t="shared" si="11"/>
        <v>0</v>
      </c>
      <c r="J93" s="30"/>
      <c r="K93" s="29"/>
      <c r="L93" s="9">
        <f t="shared" si="12"/>
        <v>0</v>
      </c>
      <c r="M93" s="30"/>
      <c r="N93" s="10"/>
    </row>
    <row r="94" spans="1:14" s="1" customFormat="1" ht="13.5" customHeight="1" hidden="1">
      <c r="A94" s="789"/>
      <c r="B94" s="12"/>
      <c r="C94" s="23"/>
      <c r="D94" s="42"/>
      <c r="E94" s="23"/>
      <c r="F94" s="12"/>
      <c r="G94" s="34"/>
      <c r="H94" s="28"/>
      <c r="I94" s="12">
        <f t="shared" si="11"/>
        <v>0</v>
      </c>
      <c r="J94" s="30"/>
      <c r="K94" s="29"/>
      <c r="L94" s="12">
        <f t="shared" si="12"/>
        <v>0</v>
      </c>
      <c r="M94" s="30"/>
      <c r="N94" s="10"/>
    </row>
    <row r="95" spans="1:14" s="1" customFormat="1" ht="13.5" customHeight="1" hidden="1">
      <c r="A95" s="1579">
        <v>30</v>
      </c>
      <c r="B95" s="1446"/>
      <c r="C95" s="1783"/>
      <c r="D95" s="1446"/>
      <c r="E95" s="1783"/>
      <c r="F95" s="24">
        <f>G95+H95</f>
        <v>0</v>
      </c>
      <c r="G95" s="1786"/>
      <c r="H95" s="1786"/>
      <c r="I95" s="9">
        <f t="shared" si="11"/>
        <v>0</v>
      </c>
      <c r="J95" s="9"/>
      <c r="K95" s="9"/>
      <c r="L95" s="9"/>
      <c r="M95" s="9"/>
      <c r="N95" s="9"/>
    </row>
    <row r="96" spans="1:14" s="1" customFormat="1" ht="13.5" customHeight="1" hidden="1">
      <c r="A96" s="1571"/>
      <c r="B96" s="1573"/>
      <c r="C96" s="1783"/>
      <c r="D96" s="1573"/>
      <c r="E96" s="1783"/>
      <c r="F96" s="10"/>
      <c r="G96" s="1786"/>
      <c r="H96" s="1786"/>
      <c r="I96" s="10">
        <f t="shared" si="11"/>
        <v>0</v>
      </c>
      <c r="J96" s="10"/>
      <c r="K96" s="10"/>
      <c r="L96" s="10"/>
      <c r="M96" s="10"/>
      <c r="N96" s="10"/>
    </row>
    <row r="97" spans="1:14" s="47" customFormat="1" ht="12">
      <c r="A97" s="1661"/>
      <c r="B97" s="323"/>
      <c r="C97" s="1596" t="s">
        <v>229</v>
      </c>
      <c r="D97" s="1596"/>
      <c r="E97" s="1594"/>
      <c r="F97" s="1777">
        <f>SUM(F7:F96)</f>
        <v>310.1719999999999</v>
      </c>
      <c r="G97" s="1777">
        <f>SUM(G7:G96)</f>
        <v>209.04299999999998</v>
      </c>
      <c r="H97" s="1784">
        <f>SUM(H7:H96)</f>
        <v>101.12899999999999</v>
      </c>
      <c r="I97" s="324">
        <f aca="true" t="shared" si="13" ref="I97:N97">I7+I9+I11+I13+I15+I17+I19+I21+I23+I25+I27+I29+I31+I33+I35+I37+I39+I41+I43+I45+I47+I49+I51+I53+I55+I57+I59+I61+I63+I65+I67+I69+I71+I73+I75+I77+I79</f>
        <v>9</v>
      </c>
      <c r="J97" s="382">
        <f t="shared" si="13"/>
        <v>9</v>
      </c>
      <c r="K97" s="324">
        <f t="shared" si="13"/>
        <v>0</v>
      </c>
      <c r="L97" s="382">
        <f t="shared" si="13"/>
        <v>242</v>
      </c>
      <c r="M97" s="324">
        <f t="shared" si="13"/>
        <v>184</v>
      </c>
      <c r="N97" s="382">
        <f t="shared" si="13"/>
        <v>58</v>
      </c>
    </row>
    <row r="98" spans="1:14" s="47" customFormat="1" ht="12.75" thickBot="1">
      <c r="A98" s="1662"/>
      <c r="B98" s="164"/>
      <c r="C98" s="1597"/>
      <c r="D98" s="1597"/>
      <c r="E98" s="1595"/>
      <c r="F98" s="1778"/>
      <c r="G98" s="1778"/>
      <c r="H98" s="1785"/>
      <c r="I98" s="817">
        <f>I8+I10+I12+I14+I16+I18+I20+I22+I24+I26+I28+I30+I32+I34+I36+I38+I40+I42+I44+I46+I48+I50+I52+I54+I56+I58+I60+I62+I64+I66+I68+I70+I72+I74+I76+I78+I80</f>
        <v>347.14</v>
      </c>
      <c r="J98" s="818">
        <f aca="true" t="shared" si="14" ref="J98:K100">J8+J10+J12+J14+J16+J18+J20+J22+J24+J26+J28+J30+J32+J34+J36+J38+J40+J42+J44+J46+J48+J50+J52+J54+J56+J58+J60+J62+J64+J66+J68+J70+J72+J74+J76+J78+J80</f>
        <v>347.14</v>
      </c>
      <c r="K98" s="817">
        <f t="shared" si="14"/>
        <v>0</v>
      </c>
      <c r="L98" s="818">
        <f>L8+L10+L12+L14+L16+L18+L20+L22+L24+L26+L28+L30+L32+L34+L36+L38+L40+L42+L44+L46+L48+L50+L52+L54+L56+L58+L60+L62+L64+L66+L68+L70+L72+L74+L76+L78+L80</f>
        <v>3537</v>
      </c>
      <c r="M98" s="817">
        <f>M8+M10+M12+M14+M16+M18+M20+M22+M24+M26+M28+M30+M32+M34+M36+M38+M40+M42+M44+M46+M48+M50+M52+M54+M56+M58+M60+M62+M64+M66+M68+M70+M72+M74+M76+M78+M80</f>
        <v>2818</v>
      </c>
      <c r="N98" s="818">
        <f>N8+N10+N12+N14+N16+N18+N20+N22+N24+N26+N28+N30+N32+N34+N36+N38+N40+N42+N44+N46+N48+N50+N52+N54+N56+N58+N60+N62+N64+N66+N68+N70+N72+N74+N76+N78+N80</f>
        <v>719</v>
      </c>
    </row>
    <row r="99" spans="1:10" ht="12.75" hidden="1">
      <c r="A99" s="151"/>
      <c r="B99" s="153"/>
      <c r="C99" s="1150" t="s">
        <v>454</v>
      </c>
      <c r="D99" s="161" t="s">
        <v>450</v>
      </c>
      <c r="E99" s="162"/>
      <c r="F99" s="185">
        <f>SUMIF($D$19:$D$96,"=I",F19:F96)</f>
        <v>0</v>
      </c>
      <c r="G99" s="185">
        <f>SUMIF($D$19:$D$96,"=I",G19:G96)</f>
        <v>0</v>
      </c>
      <c r="H99" s="185">
        <f>SUMIF($D$19:$D$96,"=I",H19:H96)</f>
        <v>0</v>
      </c>
      <c r="J99" s="816">
        <f t="shared" si="14"/>
        <v>7</v>
      </c>
    </row>
    <row r="100" spans="1:10" ht="12.75" hidden="1">
      <c r="A100" s="151"/>
      <c r="B100" s="153"/>
      <c r="C100" s="1151"/>
      <c r="D100" s="69" t="s">
        <v>100</v>
      </c>
      <c r="E100" s="63"/>
      <c r="F100" s="101">
        <f>SUMIF($D$19:$D$96,"=II",F19:F96)</f>
        <v>0</v>
      </c>
      <c r="G100" s="101">
        <f>SUMIF($D$19:$D$96,"=II",G19:G96)</f>
        <v>0</v>
      </c>
      <c r="H100" s="101">
        <f>SUMIF($D$19:$D$96,"=II",H19:H96)</f>
        <v>0</v>
      </c>
      <c r="J100" s="324">
        <f t="shared" si="14"/>
        <v>251.69</v>
      </c>
    </row>
    <row r="101" spans="1:8" ht="12.75">
      <c r="A101" s="151"/>
      <c r="B101" s="153"/>
      <c r="C101" s="1151"/>
      <c r="D101" s="68" t="s">
        <v>102</v>
      </c>
      <c r="E101" s="63"/>
      <c r="F101" s="101">
        <f>SUMIF($D$7:$D$96,"=III",F7:F96)</f>
        <v>1.998</v>
      </c>
      <c r="G101" s="101">
        <f>SUMIF($D$7:$D$96,"=III",G7:G96)</f>
        <v>1.998</v>
      </c>
      <c r="H101" s="101">
        <f>SUMIF($D$7:$D$96,"=III",H7:H96)</f>
        <v>0</v>
      </c>
    </row>
    <row r="102" spans="1:8" ht="12.75">
      <c r="A102" s="151"/>
      <c r="B102" s="153"/>
      <c r="C102" s="1151"/>
      <c r="D102" s="70" t="s">
        <v>27</v>
      </c>
      <c r="E102" s="67"/>
      <c r="F102" s="101">
        <f>SUMIF($D$7:$D$96,"=IV",F7:F96)</f>
        <v>209.34199999999998</v>
      </c>
      <c r="G102" s="101">
        <f>SUMIF($D$7:$D$96,"=IV",G7:G96)</f>
        <v>195.176</v>
      </c>
      <c r="H102" s="101">
        <f>SUMIF($D$7:$D$96,"=IV",H7:H96)</f>
        <v>14.166</v>
      </c>
    </row>
    <row r="103" spans="1:8" ht="12.75">
      <c r="A103" s="152"/>
      <c r="B103" s="154"/>
      <c r="C103" s="1151"/>
      <c r="D103" s="70" t="s">
        <v>49</v>
      </c>
      <c r="E103" s="64"/>
      <c r="F103" s="101">
        <f>SUMIF($D$7:$D$96,"=V",F7:F96)</f>
        <v>98.832</v>
      </c>
      <c r="G103" s="101">
        <f>SUMIF($D$7:$D$96,"=V",G7:G96)</f>
        <v>11.869</v>
      </c>
      <c r="H103" s="101">
        <f>SUMIF($D$7:$D$96,"=V",H7:H96)</f>
        <v>86.963</v>
      </c>
    </row>
    <row r="104" spans="1:8" ht="12.75">
      <c r="A104" s="31"/>
      <c r="C104" s="8"/>
      <c r="D104" s="8"/>
      <c r="E104" s="4"/>
      <c r="F104" s="52"/>
      <c r="G104" s="52"/>
      <c r="H104" s="52"/>
    </row>
    <row r="105" spans="1:5" ht="12.75">
      <c r="A105" s="31"/>
      <c r="C105" s="8"/>
      <c r="D105" s="8"/>
      <c r="E105" s="4"/>
    </row>
    <row r="106" spans="3:5" ht="12.75">
      <c r="C106" s="6"/>
      <c r="D106" s="6"/>
      <c r="E106" s="4"/>
    </row>
    <row r="107" spans="3:5" ht="12.75">
      <c r="C107" s="8"/>
      <c r="D107" s="8"/>
      <c r="E107" s="4"/>
    </row>
    <row r="108" spans="3:5" ht="12.75">
      <c r="C108" s="7"/>
      <c r="D108" s="7"/>
      <c r="E108" s="5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</sheetData>
  <sheetProtection/>
  <mergeCells count="328">
    <mergeCell ref="G79:G80"/>
    <mergeCell ref="H79:H80"/>
    <mergeCell ref="A79:A80"/>
    <mergeCell ref="B79:B80"/>
    <mergeCell ref="C79:C80"/>
    <mergeCell ref="D79:D80"/>
    <mergeCell ref="E79:E80"/>
    <mergeCell ref="F79:F80"/>
    <mergeCell ref="G77:G78"/>
    <mergeCell ref="H77:H78"/>
    <mergeCell ref="A77:A78"/>
    <mergeCell ref="B77:B78"/>
    <mergeCell ref="C77:C78"/>
    <mergeCell ref="D77:D78"/>
    <mergeCell ref="E77:E78"/>
    <mergeCell ref="F77:F78"/>
    <mergeCell ref="G17:G18"/>
    <mergeCell ref="H17:H18"/>
    <mergeCell ref="A17:A18"/>
    <mergeCell ref="B17:B18"/>
    <mergeCell ref="C17:C18"/>
    <mergeCell ref="D17:D18"/>
    <mergeCell ref="E17:E18"/>
    <mergeCell ref="F17:F18"/>
    <mergeCell ref="G15:G16"/>
    <mergeCell ref="H15:H16"/>
    <mergeCell ref="A15:A16"/>
    <mergeCell ref="B15:B16"/>
    <mergeCell ref="C15:C16"/>
    <mergeCell ref="D15:D16"/>
    <mergeCell ref="E15:E16"/>
    <mergeCell ref="F15:F16"/>
    <mergeCell ref="G13:G14"/>
    <mergeCell ref="H13:H14"/>
    <mergeCell ref="A13:A14"/>
    <mergeCell ref="B13:B14"/>
    <mergeCell ref="C13:C14"/>
    <mergeCell ref="D13:D14"/>
    <mergeCell ref="E13:E14"/>
    <mergeCell ref="F13:F14"/>
    <mergeCell ref="G7:G8"/>
    <mergeCell ref="H7:H8"/>
    <mergeCell ref="A7:A8"/>
    <mergeCell ref="B7:B8"/>
    <mergeCell ref="C7:C8"/>
    <mergeCell ref="D7:D8"/>
    <mergeCell ref="E7:E8"/>
    <mergeCell ref="F7:F8"/>
    <mergeCell ref="H53:H54"/>
    <mergeCell ref="H55:H56"/>
    <mergeCell ref="H67:H68"/>
    <mergeCell ref="H51:H52"/>
    <mergeCell ref="H49:H50"/>
    <mergeCell ref="H73:H74"/>
    <mergeCell ref="H59:H60"/>
    <mergeCell ref="H57:H58"/>
    <mergeCell ref="G69:G70"/>
    <mergeCell ref="H97:H98"/>
    <mergeCell ref="G95:G96"/>
    <mergeCell ref="H95:H96"/>
    <mergeCell ref="G97:G98"/>
    <mergeCell ref="G75:G76"/>
    <mergeCell ref="H71:H72"/>
    <mergeCell ref="H75:H76"/>
    <mergeCell ref="G71:G72"/>
    <mergeCell ref="H69:H70"/>
    <mergeCell ref="G67:G68"/>
    <mergeCell ref="B71:B72"/>
    <mergeCell ref="F71:F72"/>
    <mergeCell ref="A97:A98"/>
    <mergeCell ref="C97:C98"/>
    <mergeCell ref="A95:A96"/>
    <mergeCell ref="B95:B96"/>
    <mergeCell ref="C95:C96"/>
    <mergeCell ref="D97:D98"/>
    <mergeCell ref="E95:E96"/>
    <mergeCell ref="E97:E98"/>
    <mergeCell ref="F97:F98"/>
    <mergeCell ref="D95:D96"/>
    <mergeCell ref="E67:E68"/>
    <mergeCell ref="F67:F68"/>
    <mergeCell ref="D69:D70"/>
    <mergeCell ref="F69:F70"/>
    <mergeCell ref="F75:F76"/>
    <mergeCell ref="D75:D76"/>
    <mergeCell ref="D9:D10"/>
    <mergeCell ref="A67:A68"/>
    <mergeCell ref="B67:B68"/>
    <mergeCell ref="C67:C68"/>
    <mergeCell ref="C71:C72"/>
    <mergeCell ref="D71:D72"/>
    <mergeCell ref="A9:A10"/>
    <mergeCell ref="B9:B10"/>
    <mergeCell ref="C9:C10"/>
    <mergeCell ref="E69:E70"/>
    <mergeCell ref="A75:A76"/>
    <mergeCell ref="B69:B70"/>
    <mergeCell ref="C69:C70"/>
    <mergeCell ref="B75:B76"/>
    <mergeCell ref="C75:C76"/>
    <mergeCell ref="E75:E76"/>
    <mergeCell ref="E73:E74"/>
    <mergeCell ref="A71:A72"/>
    <mergeCell ref="E71:E72"/>
    <mergeCell ref="G65:G66"/>
    <mergeCell ref="H65:H66"/>
    <mergeCell ref="F65:F66"/>
    <mergeCell ref="G61:G62"/>
    <mergeCell ref="G63:G64"/>
    <mergeCell ref="F63:F64"/>
    <mergeCell ref="H63:H64"/>
    <mergeCell ref="E61:E62"/>
    <mergeCell ref="A61:A62"/>
    <mergeCell ref="E63:E64"/>
    <mergeCell ref="C65:C66"/>
    <mergeCell ref="D61:D62"/>
    <mergeCell ref="D65:D66"/>
    <mergeCell ref="A63:A64"/>
    <mergeCell ref="C63:C64"/>
    <mergeCell ref="D63:D64"/>
    <mergeCell ref="B73:B74"/>
    <mergeCell ref="B61:B62"/>
    <mergeCell ref="C61:C62"/>
    <mergeCell ref="A65:A66"/>
    <mergeCell ref="B65:B66"/>
    <mergeCell ref="D67:D68"/>
    <mergeCell ref="A69:A70"/>
    <mergeCell ref="A59:A60"/>
    <mergeCell ref="B59:B60"/>
    <mergeCell ref="F73:F74"/>
    <mergeCell ref="D59:D60"/>
    <mergeCell ref="C59:C60"/>
    <mergeCell ref="A73:A74"/>
    <mergeCell ref="C73:C74"/>
    <mergeCell ref="D73:D74"/>
    <mergeCell ref="E59:E60"/>
    <mergeCell ref="B63:B64"/>
    <mergeCell ref="B57:B58"/>
    <mergeCell ref="B45:B46"/>
    <mergeCell ref="A57:A58"/>
    <mergeCell ref="B49:B50"/>
    <mergeCell ref="A45:A46"/>
    <mergeCell ref="A55:A56"/>
    <mergeCell ref="A53:A54"/>
    <mergeCell ref="A51:A52"/>
    <mergeCell ref="B51:B52"/>
    <mergeCell ref="A47:A48"/>
    <mergeCell ref="B47:B48"/>
    <mergeCell ref="A49:A50"/>
    <mergeCell ref="C55:C56"/>
    <mergeCell ref="C53:C54"/>
    <mergeCell ref="B53:B54"/>
    <mergeCell ref="B55:B56"/>
    <mergeCell ref="G37:G38"/>
    <mergeCell ref="F45:F46"/>
    <mergeCell ref="D45:D46"/>
    <mergeCell ref="C49:C50"/>
    <mergeCell ref="D51:D52"/>
    <mergeCell ref="D49:D50"/>
    <mergeCell ref="C45:C46"/>
    <mergeCell ref="F41:F42"/>
    <mergeCell ref="E41:E42"/>
    <mergeCell ref="E43:E44"/>
    <mergeCell ref="F23:F24"/>
    <mergeCell ref="H45:H46"/>
    <mergeCell ref="G45:G46"/>
    <mergeCell ref="H41:H42"/>
    <mergeCell ref="H11:H12"/>
    <mergeCell ref="H43:H44"/>
    <mergeCell ref="G41:G42"/>
    <mergeCell ref="G11:G12"/>
    <mergeCell ref="G43:G44"/>
    <mergeCell ref="G39:G40"/>
    <mergeCell ref="F43:F44"/>
    <mergeCell ref="E11:E12"/>
    <mergeCell ref="D11:D12"/>
    <mergeCell ref="D43:D44"/>
    <mergeCell ref="F11:F12"/>
    <mergeCell ref="F39:F40"/>
    <mergeCell ref="F37:F38"/>
    <mergeCell ref="D27:D28"/>
    <mergeCell ref="E31:E32"/>
    <mergeCell ref="F25:F26"/>
    <mergeCell ref="C41:C42"/>
    <mergeCell ref="A41:A42"/>
    <mergeCell ref="B41:B42"/>
    <mergeCell ref="H35:H36"/>
    <mergeCell ref="F35:F36"/>
    <mergeCell ref="G35:G36"/>
    <mergeCell ref="D39:D40"/>
    <mergeCell ref="E39:E40"/>
    <mergeCell ref="H39:H40"/>
    <mergeCell ref="D35:D36"/>
    <mergeCell ref="A43:A44"/>
    <mergeCell ref="A11:A12"/>
    <mergeCell ref="A37:A38"/>
    <mergeCell ref="A39:A40"/>
    <mergeCell ref="B39:B40"/>
    <mergeCell ref="B43:B44"/>
    <mergeCell ref="B37:B38"/>
    <mergeCell ref="A29:A30"/>
    <mergeCell ref="B29:B30"/>
    <mergeCell ref="A35:A36"/>
    <mergeCell ref="B11:B12"/>
    <mergeCell ref="C43:C44"/>
    <mergeCell ref="C11:C12"/>
    <mergeCell ref="E33:E34"/>
    <mergeCell ref="D33:D34"/>
    <mergeCell ref="D41:D42"/>
    <mergeCell ref="E35:E36"/>
    <mergeCell ref="D37:D38"/>
    <mergeCell ref="E37:E38"/>
    <mergeCell ref="C39:C40"/>
    <mergeCell ref="F27:F28"/>
    <mergeCell ref="F29:F30"/>
    <mergeCell ref="E27:E28"/>
    <mergeCell ref="E29:E30"/>
    <mergeCell ref="C37:C38"/>
    <mergeCell ref="D31:D32"/>
    <mergeCell ref="D29:D30"/>
    <mergeCell ref="C31:C32"/>
    <mergeCell ref="C29:C30"/>
    <mergeCell ref="A33:A34"/>
    <mergeCell ref="B33:B34"/>
    <mergeCell ref="A31:A32"/>
    <mergeCell ref="B31:B32"/>
    <mergeCell ref="C33:C34"/>
    <mergeCell ref="C35:C36"/>
    <mergeCell ref="B35:B36"/>
    <mergeCell ref="A21:A22"/>
    <mergeCell ref="B27:B28"/>
    <mergeCell ref="C27:C28"/>
    <mergeCell ref="C21:C22"/>
    <mergeCell ref="A23:A24"/>
    <mergeCell ref="B23:B24"/>
    <mergeCell ref="C23:C24"/>
    <mergeCell ref="A25:A26"/>
    <mergeCell ref="B25:B26"/>
    <mergeCell ref="A27:A28"/>
    <mergeCell ref="E21:E22"/>
    <mergeCell ref="E23:E24"/>
    <mergeCell ref="D23:D24"/>
    <mergeCell ref="D21:D22"/>
    <mergeCell ref="B21:B22"/>
    <mergeCell ref="E25:E26"/>
    <mergeCell ref="C25:C26"/>
    <mergeCell ref="D25:D26"/>
    <mergeCell ref="A1:N1"/>
    <mergeCell ref="A2:N2"/>
    <mergeCell ref="A4:A6"/>
    <mergeCell ref="B4:B6"/>
    <mergeCell ref="C4:C6"/>
    <mergeCell ref="D4:D6"/>
    <mergeCell ref="E4:E6"/>
    <mergeCell ref="L4:N4"/>
    <mergeCell ref="M5:N5"/>
    <mergeCell ref="L5:L6"/>
    <mergeCell ref="H19:H20"/>
    <mergeCell ref="G19:G20"/>
    <mergeCell ref="A19:A20"/>
    <mergeCell ref="B19:B20"/>
    <mergeCell ref="D19:D20"/>
    <mergeCell ref="E19:E20"/>
    <mergeCell ref="C19:C20"/>
    <mergeCell ref="J5:K5"/>
    <mergeCell ref="G4:H4"/>
    <mergeCell ref="I4:K4"/>
    <mergeCell ref="I5:I6"/>
    <mergeCell ref="G5:G6"/>
    <mergeCell ref="H5:H6"/>
    <mergeCell ref="F4:F6"/>
    <mergeCell ref="F33:F34"/>
    <mergeCell ref="G33:G34"/>
    <mergeCell ref="H33:H34"/>
    <mergeCell ref="F21:F22"/>
    <mergeCell ref="G21:G22"/>
    <mergeCell ref="G23:G24"/>
    <mergeCell ref="H23:H24"/>
    <mergeCell ref="H21:H22"/>
    <mergeCell ref="F19:F20"/>
    <mergeCell ref="C99:C103"/>
    <mergeCell ref="E49:E50"/>
    <mergeCell ref="C47:C48"/>
    <mergeCell ref="D47:D48"/>
    <mergeCell ref="C51:C52"/>
    <mergeCell ref="D57:D58"/>
    <mergeCell ref="E65:E66"/>
    <mergeCell ref="E57:E58"/>
    <mergeCell ref="C57:C58"/>
    <mergeCell ref="E53:E54"/>
    <mergeCell ref="G25:G26"/>
    <mergeCell ref="E45:E46"/>
    <mergeCell ref="H29:H30"/>
    <mergeCell ref="G31:G32"/>
    <mergeCell ref="G29:G30"/>
    <mergeCell ref="H31:H32"/>
    <mergeCell ref="G27:G28"/>
    <mergeCell ref="H27:H28"/>
    <mergeCell ref="F31:F32"/>
    <mergeCell ref="H37:H38"/>
    <mergeCell ref="E51:E52"/>
    <mergeCell ref="H47:H48"/>
    <mergeCell ref="G47:G48"/>
    <mergeCell ref="G51:G52"/>
    <mergeCell ref="F57:F58"/>
    <mergeCell ref="F51:F52"/>
    <mergeCell ref="F47:F48"/>
    <mergeCell ref="G53:G54"/>
    <mergeCell ref="G49:G50"/>
    <mergeCell ref="G57:G58"/>
    <mergeCell ref="E9:E10"/>
    <mergeCell ref="F9:F10"/>
    <mergeCell ref="G9:G10"/>
    <mergeCell ref="H9:H10"/>
    <mergeCell ref="D55:D56"/>
    <mergeCell ref="E55:E56"/>
    <mergeCell ref="F55:F56"/>
    <mergeCell ref="E47:E48"/>
    <mergeCell ref="D53:D54"/>
    <mergeCell ref="G59:G60"/>
    <mergeCell ref="F61:F62"/>
    <mergeCell ref="H61:H62"/>
    <mergeCell ref="F59:F60"/>
    <mergeCell ref="F49:F50"/>
    <mergeCell ref="F53:F54"/>
    <mergeCell ref="G55:G56"/>
    <mergeCell ref="H25:H26"/>
    <mergeCell ref="G73:G74"/>
  </mergeCells>
  <printOptions/>
  <pageMargins left="0.6692913385826772" right="0.4724409448818898" top="0.7874015748031497" bottom="0.5118110236220472" header="0.5118110236220472" footer="0.31496062992125984"/>
  <pageSetup firstPageNumber="31" useFirstPageNumber="1" fitToHeight="0" fitToWidth="1" horizontalDpi="300" verticalDpi="300" orientation="landscape" paperSize="9" scale="98" r:id="rId1"/>
  <headerFooter alignWithMargins="0">
    <oddFooter>&amp;CСтраница &amp;P</oddFooter>
  </headerFooter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76"/>
  <sheetViews>
    <sheetView view="pageBreakPreview" zoomScaleSheetLayoutView="100" zoomScalePageLayoutView="0" workbookViewId="0" topLeftCell="A1">
      <selection activeCell="Q17" sqref="Q17"/>
    </sheetView>
  </sheetViews>
  <sheetFormatPr defaultColWidth="9.00390625" defaultRowHeight="12.75"/>
  <cols>
    <col min="1" max="1" width="4.25390625" style="0" customWidth="1"/>
    <col min="2" max="2" width="12.375" style="53" customWidth="1"/>
    <col min="3" max="3" width="33.625" style="0" customWidth="1"/>
    <col min="4" max="4" width="9.25390625" style="1" customWidth="1"/>
    <col min="5" max="5" width="8.25390625" style="0" customWidth="1"/>
    <col min="6" max="6" width="11.375" style="0" customWidth="1"/>
    <col min="7" max="7" width="7.125" style="0" customWidth="1"/>
    <col min="8" max="8" width="8.75390625" style="0" customWidth="1"/>
    <col min="9" max="9" width="7.375" style="0" bestFit="1" customWidth="1"/>
    <col min="10" max="10" width="8.1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8.753906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1224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1409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621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7"/>
      <c r="B7" s="1205"/>
      <c r="C7" s="1215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24" customHeight="1">
      <c r="A8" s="1228">
        <v>1</v>
      </c>
      <c r="B8" s="1189" t="s">
        <v>736</v>
      </c>
      <c r="C8" s="1191" t="s">
        <v>25</v>
      </c>
      <c r="D8" s="1199" t="s">
        <v>27</v>
      </c>
      <c r="E8" s="1193" t="s">
        <v>26</v>
      </c>
      <c r="F8" s="1189">
        <f>G8+H8</f>
        <v>31.291</v>
      </c>
      <c r="G8" s="1186">
        <v>31.291</v>
      </c>
      <c r="H8" s="1197">
        <v>0</v>
      </c>
      <c r="I8" s="502">
        <f>J8+K8</f>
        <v>6</v>
      </c>
      <c r="J8" s="503">
        <v>6</v>
      </c>
      <c r="K8" s="506">
        <v>0</v>
      </c>
      <c r="L8" s="502">
        <f>M8+N8</f>
        <v>19</v>
      </c>
      <c r="M8" s="503">
        <v>16</v>
      </c>
      <c r="N8" s="502">
        <v>3</v>
      </c>
    </row>
    <row r="9" spans="1:14" s="266" customFormat="1" ht="27" customHeight="1" thickBot="1">
      <c r="A9" s="1229"/>
      <c r="B9" s="1190"/>
      <c r="C9" s="1192"/>
      <c r="D9" s="1200"/>
      <c r="E9" s="1194"/>
      <c r="F9" s="1190"/>
      <c r="G9" s="1187"/>
      <c r="H9" s="1198"/>
      <c r="I9" s="828">
        <f>J9+K9</f>
        <v>159.34</v>
      </c>
      <c r="J9" s="589">
        <f>153.57+5.77</f>
        <v>159.34</v>
      </c>
      <c r="K9" s="871">
        <v>0</v>
      </c>
      <c r="L9" s="827">
        <f>M9+N9</f>
        <v>261</v>
      </c>
      <c r="M9" s="589">
        <v>232</v>
      </c>
      <c r="N9" s="827">
        <v>29</v>
      </c>
    </row>
    <row r="10" spans="1:14" s="266" customFormat="1" ht="12">
      <c r="A10" s="1228">
        <v>2</v>
      </c>
      <c r="B10" s="1189" t="s">
        <v>737</v>
      </c>
      <c r="C10" s="1191" t="s">
        <v>1424</v>
      </c>
      <c r="D10" s="1199" t="s">
        <v>102</v>
      </c>
      <c r="E10" s="1195" t="s">
        <v>28</v>
      </c>
      <c r="F10" s="1189">
        <f>G10+H10</f>
        <v>29.7</v>
      </c>
      <c r="G10" s="1197">
        <v>29.7</v>
      </c>
      <c r="H10" s="1197">
        <v>0</v>
      </c>
      <c r="I10" s="502">
        <f aca="true" t="shared" si="0" ref="I10:I29">J10+K10</f>
        <v>4</v>
      </c>
      <c r="J10" s="506">
        <v>1</v>
      </c>
      <c r="K10" s="504">
        <v>3</v>
      </c>
      <c r="L10" s="502">
        <f>M10+N10</f>
        <v>38</v>
      </c>
      <c r="M10" s="506">
        <v>38</v>
      </c>
      <c r="N10" s="502">
        <v>0</v>
      </c>
    </row>
    <row r="11" spans="1:14" s="266" customFormat="1" ht="52.5" customHeight="1" thickBot="1">
      <c r="A11" s="1229"/>
      <c r="B11" s="1190"/>
      <c r="C11" s="1192"/>
      <c r="D11" s="1200"/>
      <c r="E11" s="1196"/>
      <c r="F11" s="1190"/>
      <c r="G11" s="1198"/>
      <c r="H11" s="1198"/>
      <c r="I11" s="517">
        <f t="shared" si="0"/>
        <v>304.21</v>
      </c>
      <c r="J11" s="518">
        <v>58.2</v>
      </c>
      <c r="K11" s="519">
        <v>246.01</v>
      </c>
      <c r="L11" s="517">
        <f aca="true" t="shared" si="1" ref="L11:L29">M11+N11</f>
        <v>612</v>
      </c>
      <c r="M11" s="520">
        <v>612</v>
      </c>
      <c r="N11" s="517">
        <v>0</v>
      </c>
    </row>
    <row r="12" spans="1:14" s="266" customFormat="1" ht="12">
      <c r="A12" s="1167">
        <v>3</v>
      </c>
      <c r="B12" s="1169" t="s">
        <v>738</v>
      </c>
      <c r="C12" s="1182" t="s">
        <v>477</v>
      </c>
      <c r="D12" s="1230" t="s">
        <v>27</v>
      </c>
      <c r="E12" s="1173" t="s">
        <v>728</v>
      </c>
      <c r="F12" s="1169">
        <f>G12+H12</f>
        <v>31.074</v>
      </c>
      <c r="G12" s="1184">
        <v>9.896</v>
      </c>
      <c r="H12" s="1184">
        <v>21.178</v>
      </c>
      <c r="I12" s="644">
        <f t="shared" si="0"/>
        <v>1</v>
      </c>
      <c r="J12" s="645">
        <v>1</v>
      </c>
      <c r="K12" s="646">
        <v>0</v>
      </c>
      <c r="L12" s="644">
        <f t="shared" si="1"/>
        <v>30</v>
      </c>
      <c r="M12" s="645">
        <v>6</v>
      </c>
      <c r="N12" s="644">
        <v>24</v>
      </c>
    </row>
    <row r="13" spans="1:14" s="266" customFormat="1" ht="33" customHeight="1" thickBot="1">
      <c r="A13" s="1168"/>
      <c r="B13" s="1170"/>
      <c r="C13" s="1183"/>
      <c r="D13" s="1231"/>
      <c r="E13" s="1170"/>
      <c r="F13" s="1170"/>
      <c r="G13" s="1185"/>
      <c r="H13" s="1185"/>
      <c r="I13" s="824">
        <f t="shared" si="0"/>
        <v>11.96</v>
      </c>
      <c r="J13" s="809">
        <v>11.96</v>
      </c>
      <c r="K13" s="853">
        <v>0</v>
      </c>
      <c r="L13" s="824">
        <f t="shared" si="1"/>
        <v>537</v>
      </c>
      <c r="M13" s="809">
        <v>108</v>
      </c>
      <c r="N13" s="824">
        <v>429</v>
      </c>
    </row>
    <row r="14" spans="1:14" s="266" customFormat="1" ht="12">
      <c r="A14" s="1167">
        <v>4</v>
      </c>
      <c r="B14" s="1169" t="s">
        <v>739</v>
      </c>
      <c r="C14" s="1182" t="s">
        <v>29</v>
      </c>
      <c r="D14" s="1173" t="s">
        <v>27</v>
      </c>
      <c r="E14" s="1180" t="s">
        <v>663</v>
      </c>
      <c r="F14" s="1169">
        <f>G14+H14</f>
        <v>30.677</v>
      </c>
      <c r="G14" s="1184">
        <v>1.714</v>
      </c>
      <c r="H14" s="1184">
        <v>28.963</v>
      </c>
      <c r="I14" s="644">
        <f t="shared" si="0"/>
        <v>1</v>
      </c>
      <c r="J14" s="645">
        <v>1</v>
      </c>
      <c r="K14" s="648">
        <v>0</v>
      </c>
      <c r="L14" s="644">
        <f t="shared" si="1"/>
        <v>20</v>
      </c>
      <c r="M14" s="645">
        <v>18</v>
      </c>
      <c r="N14" s="644">
        <v>2</v>
      </c>
    </row>
    <row r="15" spans="1:14" s="266" customFormat="1" ht="12.75" thickBot="1">
      <c r="A15" s="1168"/>
      <c r="B15" s="1170"/>
      <c r="C15" s="1183"/>
      <c r="D15" s="1174"/>
      <c r="E15" s="1181"/>
      <c r="F15" s="1170"/>
      <c r="G15" s="1185"/>
      <c r="H15" s="1185"/>
      <c r="I15" s="825">
        <f t="shared" si="0"/>
        <v>15.19</v>
      </c>
      <c r="J15" s="650">
        <v>15.19</v>
      </c>
      <c r="K15" s="611">
        <v>0</v>
      </c>
      <c r="L15" s="824">
        <f t="shared" si="1"/>
        <v>346</v>
      </c>
      <c r="M15" s="809">
        <v>297</v>
      </c>
      <c r="N15" s="824">
        <v>49</v>
      </c>
    </row>
    <row r="16" spans="1:14" s="266" customFormat="1" ht="12">
      <c r="A16" s="1167">
        <v>5</v>
      </c>
      <c r="B16" s="1169" t="s">
        <v>740</v>
      </c>
      <c r="C16" s="1182" t="s">
        <v>30</v>
      </c>
      <c r="D16" s="1173" t="s">
        <v>27</v>
      </c>
      <c r="E16" s="1180" t="s">
        <v>674</v>
      </c>
      <c r="F16" s="1169">
        <f>G16+H16</f>
        <v>24.851</v>
      </c>
      <c r="G16" s="1184">
        <v>10.213</v>
      </c>
      <c r="H16" s="1184">
        <v>14.638</v>
      </c>
      <c r="I16" s="644">
        <f t="shared" si="0"/>
        <v>1</v>
      </c>
      <c r="J16" s="648">
        <v>1</v>
      </c>
      <c r="K16" s="646">
        <v>0</v>
      </c>
      <c r="L16" s="644">
        <f t="shared" si="1"/>
        <v>16</v>
      </c>
      <c r="M16" s="648">
        <v>10</v>
      </c>
      <c r="N16" s="644">
        <v>6</v>
      </c>
    </row>
    <row r="17" spans="1:14" s="266" customFormat="1" ht="12.75" thickBot="1">
      <c r="A17" s="1168"/>
      <c r="B17" s="1170"/>
      <c r="C17" s="1183"/>
      <c r="D17" s="1174"/>
      <c r="E17" s="1181"/>
      <c r="F17" s="1170"/>
      <c r="G17" s="1185"/>
      <c r="H17" s="1185"/>
      <c r="I17" s="825">
        <f t="shared" si="0"/>
        <v>45.3</v>
      </c>
      <c r="J17" s="651">
        <v>45.3</v>
      </c>
      <c r="K17" s="853">
        <v>0</v>
      </c>
      <c r="L17" s="824">
        <f t="shared" si="1"/>
        <v>257</v>
      </c>
      <c r="M17" s="611">
        <v>144</v>
      </c>
      <c r="N17" s="824">
        <v>113</v>
      </c>
    </row>
    <row r="18" spans="1:14" s="266" customFormat="1" ht="12">
      <c r="A18" s="1167">
        <v>6</v>
      </c>
      <c r="B18" s="1169" t="s">
        <v>742</v>
      </c>
      <c r="C18" s="1182" t="s">
        <v>32</v>
      </c>
      <c r="D18" s="1173" t="s">
        <v>27</v>
      </c>
      <c r="E18" s="1169" t="s">
        <v>33</v>
      </c>
      <c r="F18" s="1169">
        <f>G18+H18</f>
        <v>4.4</v>
      </c>
      <c r="G18" s="1178">
        <v>4.4</v>
      </c>
      <c r="H18" s="1178">
        <v>0</v>
      </c>
      <c r="I18" s="644">
        <f>J18+K18</f>
        <v>0</v>
      </c>
      <c r="J18" s="645">
        <v>0</v>
      </c>
      <c r="K18" s="646">
        <v>0</v>
      </c>
      <c r="L18" s="644">
        <f>M18+N18</f>
        <v>6</v>
      </c>
      <c r="M18" s="645">
        <v>4</v>
      </c>
      <c r="N18" s="644">
        <v>2</v>
      </c>
    </row>
    <row r="19" spans="1:14" s="266" customFormat="1" ht="16.5" customHeight="1" thickBot="1">
      <c r="A19" s="1168"/>
      <c r="B19" s="1170"/>
      <c r="C19" s="1183"/>
      <c r="D19" s="1174"/>
      <c r="E19" s="1170"/>
      <c r="F19" s="1170"/>
      <c r="G19" s="1179"/>
      <c r="H19" s="1179"/>
      <c r="I19" s="824">
        <f>J19+K19</f>
        <v>0</v>
      </c>
      <c r="J19" s="809">
        <v>0</v>
      </c>
      <c r="K19" s="853">
        <v>0</v>
      </c>
      <c r="L19" s="824">
        <f>M19+N19</f>
        <v>77</v>
      </c>
      <c r="M19" s="809">
        <v>48</v>
      </c>
      <c r="N19" s="824">
        <v>29</v>
      </c>
    </row>
    <row r="20" spans="1:14" s="266" customFormat="1" ht="12">
      <c r="A20" s="1167">
        <v>7</v>
      </c>
      <c r="B20" s="1169" t="s">
        <v>743</v>
      </c>
      <c r="C20" s="1232" t="s">
        <v>34</v>
      </c>
      <c r="D20" s="1173" t="s">
        <v>27</v>
      </c>
      <c r="E20" s="1169" t="s">
        <v>1274</v>
      </c>
      <c r="F20" s="1169">
        <f>G20+H20</f>
        <v>15.745000000000001</v>
      </c>
      <c r="G20" s="1184">
        <v>1.996</v>
      </c>
      <c r="H20" s="1184">
        <v>13.749</v>
      </c>
      <c r="I20" s="644">
        <f>J20+K20</f>
        <v>0</v>
      </c>
      <c r="J20" s="645">
        <v>0</v>
      </c>
      <c r="K20" s="646">
        <v>0</v>
      </c>
      <c r="L20" s="644">
        <f>M20+N20</f>
        <v>13</v>
      </c>
      <c r="M20" s="645">
        <v>5</v>
      </c>
      <c r="N20" s="644">
        <v>8</v>
      </c>
    </row>
    <row r="21" spans="1:14" s="266" customFormat="1" ht="15.75" customHeight="1" thickBot="1">
      <c r="A21" s="1168"/>
      <c r="B21" s="1170"/>
      <c r="C21" s="1233"/>
      <c r="D21" s="1174"/>
      <c r="E21" s="1170"/>
      <c r="F21" s="1170"/>
      <c r="G21" s="1185"/>
      <c r="H21" s="1185"/>
      <c r="I21" s="824">
        <f>J21+K21</f>
        <v>0</v>
      </c>
      <c r="J21" s="809">
        <v>0</v>
      </c>
      <c r="K21" s="853">
        <v>0</v>
      </c>
      <c r="L21" s="824">
        <f>M21+N21</f>
        <v>268</v>
      </c>
      <c r="M21" s="809">
        <v>125</v>
      </c>
      <c r="N21" s="824">
        <v>143</v>
      </c>
    </row>
    <row r="22" spans="1:14" s="266" customFormat="1" ht="12">
      <c r="A22" s="1167">
        <v>8</v>
      </c>
      <c r="B22" s="1169" t="s">
        <v>744</v>
      </c>
      <c r="C22" s="1182" t="s">
        <v>31</v>
      </c>
      <c r="D22" s="1173" t="s">
        <v>27</v>
      </c>
      <c r="E22" s="1169" t="s">
        <v>550</v>
      </c>
      <c r="F22" s="1178">
        <f>G22+H22</f>
        <v>6.7</v>
      </c>
      <c r="G22" s="1178">
        <v>6.7</v>
      </c>
      <c r="H22" s="1178">
        <v>0</v>
      </c>
      <c r="I22" s="644">
        <f t="shared" si="0"/>
        <v>1</v>
      </c>
      <c r="J22" s="644">
        <v>1</v>
      </c>
      <c r="K22" s="646">
        <v>0</v>
      </c>
      <c r="L22" s="644">
        <f t="shared" si="1"/>
        <v>5</v>
      </c>
      <c r="M22" s="644">
        <v>3</v>
      </c>
      <c r="N22" s="644">
        <v>2</v>
      </c>
    </row>
    <row r="23" spans="1:14" s="266" customFormat="1" ht="12.75" thickBot="1">
      <c r="A23" s="1168"/>
      <c r="B23" s="1170"/>
      <c r="C23" s="1183"/>
      <c r="D23" s="1174"/>
      <c r="E23" s="1170"/>
      <c r="F23" s="1170"/>
      <c r="G23" s="1179"/>
      <c r="H23" s="1179"/>
      <c r="I23" s="825">
        <f t="shared" si="0"/>
        <v>6</v>
      </c>
      <c r="J23" s="825">
        <v>6</v>
      </c>
      <c r="K23" s="853">
        <v>0</v>
      </c>
      <c r="L23" s="824">
        <v>88</v>
      </c>
      <c r="M23" s="824">
        <v>46</v>
      </c>
      <c r="N23" s="824">
        <v>42</v>
      </c>
    </row>
    <row r="24" spans="1:14" s="266" customFormat="1" ht="12">
      <c r="A24" s="1167">
        <v>9</v>
      </c>
      <c r="B24" s="1169" t="s">
        <v>745</v>
      </c>
      <c r="C24" s="1182" t="s">
        <v>36</v>
      </c>
      <c r="D24" s="1173" t="s">
        <v>27</v>
      </c>
      <c r="E24" s="1169" t="s">
        <v>37</v>
      </c>
      <c r="F24" s="1169">
        <f>G24+H24</f>
        <v>1.7</v>
      </c>
      <c r="G24" s="1178">
        <v>1.7</v>
      </c>
      <c r="H24" s="1178">
        <v>0</v>
      </c>
      <c r="I24" s="644">
        <f>J24+K24</f>
        <v>0</v>
      </c>
      <c r="J24" s="645">
        <v>0</v>
      </c>
      <c r="K24" s="646">
        <v>0</v>
      </c>
      <c r="L24" s="644">
        <f>M24+N24</f>
        <v>0</v>
      </c>
      <c r="M24" s="644">
        <v>0</v>
      </c>
      <c r="N24" s="644">
        <v>0</v>
      </c>
    </row>
    <row r="25" spans="1:14" s="266" customFormat="1" ht="18" customHeight="1" thickBot="1">
      <c r="A25" s="1168"/>
      <c r="B25" s="1170"/>
      <c r="C25" s="1183"/>
      <c r="D25" s="1174"/>
      <c r="E25" s="1170"/>
      <c r="F25" s="1170"/>
      <c r="G25" s="1179"/>
      <c r="H25" s="1179"/>
      <c r="I25" s="824">
        <f>J25+K25</f>
        <v>0</v>
      </c>
      <c r="J25" s="809">
        <v>0</v>
      </c>
      <c r="K25" s="853">
        <v>0</v>
      </c>
      <c r="L25" s="824">
        <f>M25+N25</f>
        <v>0</v>
      </c>
      <c r="M25" s="824">
        <v>0</v>
      </c>
      <c r="N25" s="824">
        <v>0</v>
      </c>
    </row>
    <row r="26" spans="1:14" s="266" customFormat="1" ht="12">
      <c r="A26" s="1167">
        <v>10</v>
      </c>
      <c r="B26" s="1169" t="s">
        <v>746</v>
      </c>
      <c r="C26" s="1232" t="s">
        <v>35</v>
      </c>
      <c r="D26" s="1173" t="s">
        <v>27</v>
      </c>
      <c r="E26" s="1169" t="s">
        <v>22</v>
      </c>
      <c r="F26" s="1169">
        <f>G26+H26</f>
        <v>12</v>
      </c>
      <c r="G26" s="1178">
        <v>0</v>
      </c>
      <c r="H26" s="1178">
        <v>12</v>
      </c>
      <c r="I26" s="644">
        <f t="shared" si="0"/>
        <v>0</v>
      </c>
      <c r="J26" s="645">
        <v>0</v>
      </c>
      <c r="K26" s="646">
        <v>0</v>
      </c>
      <c r="L26" s="644">
        <f t="shared" si="1"/>
        <v>4</v>
      </c>
      <c r="M26" s="645">
        <v>0</v>
      </c>
      <c r="N26" s="644">
        <v>4</v>
      </c>
    </row>
    <row r="27" spans="1:14" s="266" customFormat="1" ht="15.75" customHeight="1" thickBot="1">
      <c r="A27" s="1168"/>
      <c r="B27" s="1170"/>
      <c r="C27" s="1233"/>
      <c r="D27" s="1174"/>
      <c r="E27" s="1170"/>
      <c r="F27" s="1170"/>
      <c r="G27" s="1179"/>
      <c r="H27" s="1179"/>
      <c r="I27" s="824">
        <f t="shared" si="0"/>
        <v>0</v>
      </c>
      <c r="J27" s="809">
        <v>0</v>
      </c>
      <c r="K27" s="853">
        <v>0</v>
      </c>
      <c r="L27" s="824">
        <f t="shared" si="1"/>
        <v>53</v>
      </c>
      <c r="M27" s="809">
        <v>0</v>
      </c>
      <c r="N27" s="824">
        <v>53</v>
      </c>
    </row>
    <row r="28" spans="1:14" s="266" customFormat="1" ht="12">
      <c r="A28" s="1167">
        <v>11</v>
      </c>
      <c r="B28" s="1169" t="s">
        <v>747</v>
      </c>
      <c r="C28" s="1182" t="s">
        <v>38</v>
      </c>
      <c r="D28" s="1173" t="s">
        <v>27</v>
      </c>
      <c r="E28" s="1169" t="s">
        <v>39</v>
      </c>
      <c r="F28" s="1169">
        <f>G28+H28</f>
        <v>0.8</v>
      </c>
      <c r="G28" s="1178">
        <v>0</v>
      </c>
      <c r="H28" s="1178">
        <v>0.8</v>
      </c>
      <c r="I28" s="644">
        <f t="shared" si="0"/>
        <v>0</v>
      </c>
      <c r="J28" s="645">
        <v>0</v>
      </c>
      <c r="K28" s="646">
        <v>0</v>
      </c>
      <c r="L28" s="644">
        <f t="shared" si="1"/>
        <v>1</v>
      </c>
      <c r="M28" s="645">
        <v>1</v>
      </c>
      <c r="N28" s="644">
        <v>0</v>
      </c>
    </row>
    <row r="29" spans="1:14" s="266" customFormat="1" ht="20.25" customHeight="1" thickBot="1">
      <c r="A29" s="1168"/>
      <c r="B29" s="1170"/>
      <c r="C29" s="1183"/>
      <c r="D29" s="1174"/>
      <c r="E29" s="1170"/>
      <c r="F29" s="1170"/>
      <c r="G29" s="1179"/>
      <c r="H29" s="1179"/>
      <c r="I29" s="824">
        <f t="shared" si="0"/>
        <v>0</v>
      </c>
      <c r="J29" s="809">
        <v>0</v>
      </c>
      <c r="K29" s="853">
        <v>0</v>
      </c>
      <c r="L29" s="824">
        <f t="shared" si="1"/>
        <v>12</v>
      </c>
      <c r="M29" s="809">
        <v>12</v>
      </c>
      <c r="N29" s="824">
        <v>0</v>
      </c>
    </row>
    <row r="30" spans="1:14" s="266" customFormat="1" ht="12">
      <c r="A30" s="1167">
        <v>12</v>
      </c>
      <c r="B30" s="1169" t="s">
        <v>748</v>
      </c>
      <c r="C30" s="1182" t="s">
        <v>40</v>
      </c>
      <c r="D30" s="1173" t="s">
        <v>102</v>
      </c>
      <c r="E30" s="1173" t="s">
        <v>41</v>
      </c>
      <c r="F30" s="1169">
        <f>G30+H30</f>
        <v>7.5</v>
      </c>
      <c r="G30" s="1178">
        <v>7.5</v>
      </c>
      <c r="H30" s="1178">
        <v>0</v>
      </c>
      <c r="I30" s="644">
        <f aca="true" t="shared" si="2" ref="I30:I35">J30+K30</f>
        <v>0</v>
      </c>
      <c r="J30" s="645">
        <v>0</v>
      </c>
      <c r="K30" s="646">
        <v>0</v>
      </c>
      <c r="L30" s="644">
        <f aca="true" t="shared" si="3" ref="L30:L35">M30+N30</f>
        <v>11</v>
      </c>
      <c r="M30" s="645">
        <v>3</v>
      </c>
      <c r="N30" s="644">
        <v>8</v>
      </c>
    </row>
    <row r="31" spans="1:14" s="266" customFormat="1" ht="30.75" customHeight="1" thickBot="1">
      <c r="A31" s="1168"/>
      <c r="B31" s="1170"/>
      <c r="C31" s="1183"/>
      <c r="D31" s="1174"/>
      <c r="E31" s="1174"/>
      <c r="F31" s="1170"/>
      <c r="G31" s="1179"/>
      <c r="H31" s="1179"/>
      <c r="I31" s="824">
        <f t="shared" si="2"/>
        <v>0</v>
      </c>
      <c r="J31" s="809">
        <v>0</v>
      </c>
      <c r="K31" s="853">
        <v>0</v>
      </c>
      <c r="L31" s="824">
        <f t="shared" si="3"/>
        <v>183</v>
      </c>
      <c r="M31" s="809">
        <v>31</v>
      </c>
      <c r="N31" s="824">
        <v>152</v>
      </c>
    </row>
    <row r="32" spans="1:14" s="266" customFormat="1" ht="12">
      <c r="A32" s="1167">
        <v>13</v>
      </c>
      <c r="B32" s="1169" t="s">
        <v>749</v>
      </c>
      <c r="C32" s="1182" t="s">
        <v>42</v>
      </c>
      <c r="D32" s="1173" t="s">
        <v>27</v>
      </c>
      <c r="E32" s="1173" t="s">
        <v>551</v>
      </c>
      <c r="F32" s="1184">
        <f>G32+H32</f>
        <v>3.08</v>
      </c>
      <c r="G32" s="1184">
        <v>0.963</v>
      </c>
      <c r="H32" s="1184">
        <v>2.117</v>
      </c>
      <c r="I32" s="644">
        <f t="shared" si="2"/>
        <v>0</v>
      </c>
      <c r="J32" s="645">
        <v>0</v>
      </c>
      <c r="K32" s="646">
        <v>0</v>
      </c>
      <c r="L32" s="644">
        <v>1</v>
      </c>
      <c r="M32" s="645">
        <v>0</v>
      </c>
      <c r="N32" s="644">
        <v>1</v>
      </c>
    </row>
    <row r="33" spans="1:14" s="266" customFormat="1" ht="12.75" thickBot="1">
      <c r="A33" s="1168"/>
      <c r="B33" s="1170"/>
      <c r="C33" s="1183"/>
      <c r="D33" s="1174"/>
      <c r="E33" s="1174"/>
      <c r="F33" s="1185"/>
      <c r="G33" s="1185"/>
      <c r="H33" s="1185"/>
      <c r="I33" s="824">
        <f t="shared" si="2"/>
        <v>0</v>
      </c>
      <c r="J33" s="809">
        <v>0</v>
      </c>
      <c r="K33" s="853">
        <v>0</v>
      </c>
      <c r="L33" s="824">
        <v>9</v>
      </c>
      <c r="M33" s="809">
        <v>0</v>
      </c>
      <c r="N33" s="824">
        <v>9</v>
      </c>
    </row>
    <row r="34" spans="1:14" s="266" customFormat="1" ht="12">
      <c r="A34" s="1167">
        <v>14</v>
      </c>
      <c r="B34" s="1169" t="s">
        <v>750</v>
      </c>
      <c r="C34" s="1182" t="s">
        <v>44</v>
      </c>
      <c r="D34" s="1173" t="s">
        <v>27</v>
      </c>
      <c r="E34" s="1173" t="s">
        <v>45</v>
      </c>
      <c r="F34" s="1169">
        <f>G34+H34</f>
        <v>1.2</v>
      </c>
      <c r="G34" s="1178">
        <v>0</v>
      </c>
      <c r="H34" s="1178">
        <v>1.2</v>
      </c>
      <c r="I34" s="644">
        <f t="shared" si="2"/>
        <v>0</v>
      </c>
      <c r="J34" s="645">
        <v>0</v>
      </c>
      <c r="K34" s="646">
        <v>0</v>
      </c>
      <c r="L34" s="644">
        <f t="shared" si="3"/>
        <v>0</v>
      </c>
      <c r="M34" s="645">
        <v>0</v>
      </c>
      <c r="N34" s="644">
        <v>0</v>
      </c>
    </row>
    <row r="35" spans="1:14" s="266" customFormat="1" ht="13.5" customHeight="1" thickBot="1">
      <c r="A35" s="1168"/>
      <c r="B35" s="1170"/>
      <c r="C35" s="1183"/>
      <c r="D35" s="1174"/>
      <c r="E35" s="1174"/>
      <c r="F35" s="1170"/>
      <c r="G35" s="1179"/>
      <c r="H35" s="1179"/>
      <c r="I35" s="824">
        <f t="shared" si="2"/>
        <v>0</v>
      </c>
      <c r="J35" s="809">
        <v>0</v>
      </c>
      <c r="K35" s="853">
        <v>0</v>
      </c>
      <c r="L35" s="824">
        <f t="shared" si="3"/>
        <v>0</v>
      </c>
      <c r="M35" s="809">
        <v>0</v>
      </c>
      <c r="N35" s="824">
        <v>0</v>
      </c>
    </row>
    <row r="36" spans="1:14" s="266" customFormat="1" ht="13.5" customHeight="1">
      <c r="A36" s="1167">
        <v>15</v>
      </c>
      <c r="B36" s="1169" t="s">
        <v>752</v>
      </c>
      <c r="C36" s="1182" t="s">
        <v>47</v>
      </c>
      <c r="D36" s="1173" t="s">
        <v>27</v>
      </c>
      <c r="E36" s="1180" t="s">
        <v>570</v>
      </c>
      <c r="F36" s="1169">
        <f>G36+H36</f>
        <v>7.11</v>
      </c>
      <c r="G36" s="1178">
        <v>0</v>
      </c>
      <c r="H36" s="1178">
        <v>7.11</v>
      </c>
      <c r="I36" s="644">
        <f aca="true" t="shared" si="4" ref="I36:I43">J36+K36</f>
        <v>1</v>
      </c>
      <c r="J36" s="645">
        <v>1</v>
      </c>
      <c r="K36" s="646">
        <v>0</v>
      </c>
      <c r="L36" s="644">
        <f aca="true" t="shared" si="5" ref="L36:L43">M36+N36</f>
        <v>5</v>
      </c>
      <c r="M36" s="645">
        <v>5</v>
      </c>
      <c r="N36" s="644">
        <v>0</v>
      </c>
    </row>
    <row r="37" spans="1:14" s="266" customFormat="1" ht="13.5" customHeight="1" thickBot="1">
      <c r="A37" s="1168"/>
      <c r="B37" s="1170"/>
      <c r="C37" s="1183"/>
      <c r="D37" s="1174"/>
      <c r="E37" s="1181"/>
      <c r="F37" s="1170"/>
      <c r="G37" s="1179"/>
      <c r="H37" s="1179"/>
      <c r="I37" s="825">
        <f t="shared" si="4"/>
        <v>54.6</v>
      </c>
      <c r="J37" s="650">
        <v>54.6</v>
      </c>
      <c r="K37" s="853">
        <v>0</v>
      </c>
      <c r="L37" s="824">
        <f t="shared" si="5"/>
        <v>87</v>
      </c>
      <c r="M37" s="809">
        <v>87</v>
      </c>
      <c r="N37" s="824">
        <v>0</v>
      </c>
    </row>
    <row r="38" spans="1:14" s="266" customFormat="1" ht="12">
      <c r="A38" s="1167">
        <v>16</v>
      </c>
      <c r="B38" s="1169" t="s">
        <v>753</v>
      </c>
      <c r="C38" s="1182" t="s">
        <v>478</v>
      </c>
      <c r="D38" s="1173" t="s">
        <v>49</v>
      </c>
      <c r="E38" s="1173" t="s">
        <v>50</v>
      </c>
      <c r="F38" s="1169">
        <f>G38+H38</f>
        <v>2.6</v>
      </c>
      <c r="G38" s="1178">
        <v>2.6</v>
      </c>
      <c r="H38" s="1178">
        <v>0</v>
      </c>
      <c r="I38" s="644">
        <f t="shared" si="4"/>
        <v>0</v>
      </c>
      <c r="J38" s="645">
        <v>0</v>
      </c>
      <c r="K38" s="646">
        <v>0</v>
      </c>
      <c r="L38" s="644">
        <f t="shared" si="5"/>
        <v>5</v>
      </c>
      <c r="M38" s="645">
        <v>4</v>
      </c>
      <c r="N38" s="644">
        <v>1</v>
      </c>
    </row>
    <row r="39" spans="1:14" s="266" customFormat="1" ht="12.75" thickBot="1">
      <c r="A39" s="1168"/>
      <c r="B39" s="1170"/>
      <c r="C39" s="1183"/>
      <c r="D39" s="1174"/>
      <c r="E39" s="1174"/>
      <c r="F39" s="1170"/>
      <c r="G39" s="1179"/>
      <c r="H39" s="1179"/>
      <c r="I39" s="824">
        <f t="shared" si="4"/>
        <v>0</v>
      </c>
      <c r="J39" s="809">
        <v>0</v>
      </c>
      <c r="K39" s="853">
        <v>0</v>
      </c>
      <c r="L39" s="824">
        <f t="shared" si="5"/>
        <v>67</v>
      </c>
      <c r="M39" s="809">
        <v>38</v>
      </c>
      <c r="N39" s="824">
        <v>29</v>
      </c>
    </row>
    <row r="40" spans="1:14" s="266" customFormat="1" ht="12">
      <c r="A40" s="1167">
        <v>17</v>
      </c>
      <c r="B40" s="1169" t="s">
        <v>754</v>
      </c>
      <c r="C40" s="1182" t="s">
        <v>51</v>
      </c>
      <c r="D40" s="1173" t="s">
        <v>27</v>
      </c>
      <c r="E40" s="1173" t="s">
        <v>580</v>
      </c>
      <c r="F40" s="1169">
        <f>G40+H40</f>
        <v>1.851</v>
      </c>
      <c r="G40" s="1178">
        <v>0</v>
      </c>
      <c r="H40" s="1184">
        <v>1.851</v>
      </c>
      <c r="I40" s="644">
        <f t="shared" si="4"/>
        <v>0</v>
      </c>
      <c r="J40" s="645">
        <v>0</v>
      </c>
      <c r="K40" s="646">
        <v>0</v>
      </c>
      <c r="L40" s="644">
        <f t="shared" si="5"/>
        <v>1</v>
      </c>
      <c r="M40" s="645">
        <v>0</v>
      </c>
      <c r="N40" s="644">
        <v>1</v>
      </c>
    </row>
    <row r="41" spans="1:14" s="266" customFormat="1" ht="12.75" thickBot="1">
      <c r="A41" s="1168"/>
      <c r="B41" s="1170"/>
      <c r="C41" s="1183"/>
      <c r="D41" s="1174"/>
      <c r="E41" s="1174"/>
      <c r="F41" s="1170"/>
      <c r="G41" s="1179"/>
      <c r="H41" s="1185"/>
      <c r="I41" s="824">
        <f t="shared" si="4"/>
        <v>0</v>
      </c>
      <c r="J41" s="809">
        <v>0</v>
      </c>
      <c r="K41" s="853">
        <v>0</v>
      </c>
      <c r="L41" s="824">
        <f t="shared" si="5"/>
        <v>11</v>
      </c>
      <c r="M41" s="809">
        <v>0</v>
      </c>
      <c r="N41" s="824">
        <v>11</v>
      </c>
    </row>
    <row r="42" spans="1:14" s="266" customFormat="1" ht="12">
      <c r="A42" s="1167">
        <v>18</v>
      </c>
      <c r="B42" s="1169" t="s">
        <v>755</v>
      </c>
      <c r="C42" s="1171" t="s">
        <v>408</v>
      </c>
      <c r="D42" s="1173" t="s">
        <v>27</v>
      </c>
      <c r="E42" s="1173" t="s">
        <v>650</v>
      </c>
      <c r="F42" s="1169">
        <f>G42+H42</f>
        <v>2.193</v>
      </c>
      <c r="G42" s="1176">
        <v>2.193</v>
      </c>
      <c r="H42" s="1178">
        <v>0</v>
      </c>
      <c r="I42" s="644">
        <f t="shared" si="4"/>
        <v>0</v>
      </c>
      <c r="J42" s="648">
        <v>0</v>
      </c>
      <c r="K42" s="646">
        <v>0</v>
      </c>
      <c r="L42" s="644">
        <f t="shared" si="5"/>
        <v>14</v>
      </c>
      <c r="M42" s="648">
        <v>1</v>
      </c>
      <c r="N42" s="646">
        <v>13</v>
      </c>
    </row>
    <row r="43" spans="1:14" s="266" customFormat="1" ht="12.75" thickBot="1">
      <c r="A43" s="1168"/>
      <c r="B43" s="1170"/>
      <c r="C43" s="1172"/>
      <c r="D43" s="1174"/>
      <c r="E43" s="1174"/>
      <c r="F43" s="1170"/>
      <c r="G43" s="1177"/>
      <c r="H43" s="1179"/>
      <c r="I43" s="824">
        <f t="shared" si="4"/>
        <v>0</v>
      </c>
      <c r="J43" s="611">
        <v>0</v>
      </c>
      <c r="K43" s="853">
        <v>0</v>
      </c>
      <c r="L43" s="824">
        <f t="shared" si="5"/>
        <v>148</v>
      </c>
      <c r="M43" s="611">
        <v>16</v>
      </c>
      <c r="N43" s="853">
        <v>132</v>
      </c>
    </row>
    <row r="44" spans="1:14" s="266" customFormat="1" ht="12" customHeight="1">
      <c r="A44" s="1167">
        <v>19</v>
      </c>
      <c r="B44" s="1169" t="s">
        <v>1202</v>
      </c>
      <c r="C44" s="1171" t="s">
        <v>1196</v>
      </c>
      <c r="D44" s="1173" t="s">
        <v>102</v>
      </c>
      <c r="E44" s="1173" t="s">
        <v>1199</v>
      </c>
      <c r="F44" s="1169">
        <f>G44+H44</f>
        <v>1.593</v>
      </c>
      <c r="G44" s="1176">
        <v>1.593</v>
      </c>
      <c r="H44" s="1184"/>
      <c r="I44" s="644">
        <f>J44+K44</f>
        <v>0</v>
      </c>
      <c r="J44" s="645">
        <v>0</v>
      </c>
      <c r="K44" s="646">
        <v>0</v>
      </c>
      <c r="L44" s="644">
        <f>M44+N44</f>
        <v>1</v>
      </c>
      <c r="M44" s="645">
        <v>1</v>
      </c>
      <c r="N44" s="644">
        <v>0</v>
      </c>
    </row>
    <row r="45" spans="1:14" s="266" customFormat="1" ht="12.75" thickBot="1">
      <c r="A45" s="1168"/>
      <c r="B45" s="1170"/>
      <c r="C45" s="1172"/>
      <c r="D45" s="1174"/>
      <c r="E45" s="1174"/>
      <c r="F45" s="1170"/>
      <c r="G45" s="1177"/>
      <c r="H45" s="1185"/>
      <c r="I45" s="824">
        <f>J45+K45</f>
        <v>0</v>
      </c>
      <c r="J45" s="809">
        <v>0</v>
      </c>
      <c r="K45" s="853">
        <v>0</v>
      </c>
      <c r="L45" s="824">
        <f>M45+N45</f>
        <v>20</v>
      </c>
      <c r="M45" s="809">
        <v>20</v>
      </c>
      <c r="N45" s="824">
        <v>0</v>
      </c>
    </row>
    <row r="46" spans="1:14" s="266" customFormat="1" ht="12.75" hidden="1" thickBot="1">
      <c r="A46" s="1163"/>
      <c r="B46" s="1164"/>
      <c r="C46" s="1165"/>
      <c r="D46" s="1166"/>
      <c r="E46" s="1166"/>
      <c r="F46" s="1164">
        <f>G46+H46</f>
        <v>0</v>
      </c>
      <c r="G46" s="1188"/>
      <c r="H46" s="1161">
        <v>0</v>
      </c>
      <c r="I46" s="652">
        <f>J46+K46</f>
        <v>0</v>
      </c>
      <c r="J46" s="653">
        <v>0</v>
      </c>
      <c r="K46" s="654">
        <v>0</v>
      </c>
      <c r="L46" s="652">
        <f>M46+N46</f>
        <v>0</v>
      </c>
      <c r="M46" s="653"/>
      <c r="N46" s="654"/>
    </row>
    <row r="47" spans="1:14" s="266" customFormat="1" ht="12.75" hidden="1" thickBot="1">
      <c r="A47" s="1163"/>
      <c r="B47" s="1164"/>
      <c r="C47" s="1165"/>
      <c r="D47" s="1166"/>
      <c r="E47" s="1166"/>
      <c r="F47" s="1164"/>
      <c r="G47" s="1188"/>
      <c r="H47" s="1161"/>
      <c r="I47" s="831">
        <f>J47+K47</f>
        <v>0</v>
      </c>
      <c r="J47" s="606">
        <v>0</v>
      </c>
      <c r="K47" s="852">
        <v>0</v>
      </c>
      <c r="L47" s="831">
        <f>M47+N47</f>
        <v>0</v>
      </c>
      <c r="M47" s="606"/>
      <c r="N47" s="852"/>
    </row>
    <row r="48" spans="1:14" s="272" customFormat="1" ht="12">
      <c r="A48" s="1228"/>
      <c r="B48" s="655"/>
      <c r="C48" s="1189" t="s">
        <v>229</v>
      </c>
      <c r="D48" s="1189"/>
      <c r="E48" s="1189"/>
      <c r="F48" s="1186">
        <f aca="true" t="shared" si="6" ref="F48:N48">F8+F10+F12+F14+F16+F22+F18+F20+F26+F24+F28+F30+F32+F34+F36+F38+F40+F42+F44+F46</f>
        <v>216.065</v>
      </c>
      <c r="G48" s="1186">
        <f t="shared" si="6"/>
        <v>112.45899999999999</v>
      </c>
      <c r="H48" s="1186">
        <f t="shared" si="6"/>
        <v>103.60600000000001</v>
      </c>
      <c r="I48" s="656">
        <f t="shared" si="6"/>
        <v>15</v>
      </c>
      <c r="J48" s="656">
        <f t="shared" si="6"/>
        <v>12</v>
      </c>
      <c r="K48" s="656">
        <f t="shared" si="6"/>
        <v>3</v>
      </c>
      <c r="L48" s="656">
        <f t="shared" si="6"/>
        <v>190</v>
      </c>
      <c r="M48" s="656">
        <f t="shared" si="6"/>
        <v>115</v>
      </c>
      <c r="N48" s="656">
        <f t="shared" si="6"/>
        <v>75</v>
      </c>
    </row>
    <row r="49" spans="1:14" s="272" customFormat="1" ht="13.5" customHeight="1" thickBot="1">
      <c r="A49" s="1229"/>
      <c r="B49" s="657"/>
      <c r="C49" s="1190"/>
      <c r="D49" s="1190"/>
      <c r="E49" s="1190"/>
      <c r="F49" s="1187"/>
      <c r="G49" s="1187"/>
      <c r="H49" s="1187"/>
      <c r="I49" s="658">
        <f aca="true" t="shared" si="7" ref="I49:N49">I9+I11+I13+I15+I17+I23+I19+I21+I27+I25+I29+I31+I33+I35+I37+I39+I41+I43+I45+I47</f>
        <v>596.5999999999999</v>
      </c>
      <c r="J49" s="658">
        <f t="shared" si="7"/>
        <v>350.59000000000003</v>
      </c>
      <c r="K49" s="658">
        <f t="shared" si="7"/>
        <v>246.01</v>
      </c>
      <c r="L49" s="659">
        <f t="shared" si="7"/>
        <v>3036</v>
      </c>
      <c r="M49" s="659">
        <f t="shared" si="7"/>
        <v>1816</v>
      </c>
      <c r="N49" s="659">
        <f t="shared" si="7"/>
        <v>1220</v>
      </c>
    </row>
    <row r="50" spans="1:8" ht="12.75">
      <c r="A50" s="151"/>
      <c r="B50" s="153"/>
      <c r="C50" s="1150" t="s">
        <v>454</v>
      </c>
      <c r="D50" s="177" t="s">
        <v>450</v>
      </c>
      <c r="E50" s="162"/>
      <c r="F50" s="185">
        <f>SUMIF($D$8:$D$47,"=I",F8:F47)</f>
        <v>0</v>
      </c>
      <c r="G50" s="185">
        <f>SUMIF($D$8:$D$47,"=I",G8:G47)</f>
        <v>0</v>
      </c>
      <c r="H50" s="185">
        <f>SUMIF($D$8:$D$47,"=I",H8:H47)</f>
        <v>0</v>
      </c>
    </row>
    <row r="51" spans="1:8" ht="12.75">
      <c r="A51" s="151"/>
      <c r="B51" s="153"/>
      <c r="C51" s="1151"/>
      <c r="D51" s="65" t="s">
        <v>100</v>
      </c>
      <c r="E51" s="63"/>
      <c r="F51" s="101">
        <f>SUMIF($D$8:$D$47,"=II",F8:F47)</f>
        <v>0</v>
      </c>
      <c r="G51" s="101">
        <f>SUMIF($D$8:$D$47,"=II",G8:G47)</f>
        <v>0</v>
      </c>
      <c r="H51" s="101">
        <f>SUMIF($D$8:$D$47,"=II",H8:H47)</f>
        <v>0</v>
      </c>
    </row>
    <row r="52" spans="1:8" ht="12.75">
      <c r="A52" s="151"/>
      <c r="B52" s="153"/>
      <c r="C52" s="1151"/>
      <c r="D52" s="62" t="s">
        <v>102</v>
      </c>
      <c r="E52" s="63"/>
      <c r="F52" s="101">
        <f>SUMIF($D$8:$D$47,"=III",F8:F47)</f>
        <v>38.793000000000006</v>
      </c>
      <c r="G52" s="101">
        <f>SUMIF($D$8:$D$47,"=III",G8:G47)</f>
        <v>38.793000000000006</v>
      </c>
      <c r="H52" s="101">
        <f>SUMIF($D$8:$D$47,"=III",H8:H47)</f>
        <v>0</v>
      </c>
    </row>
    <row r="53" spans="1:10" ht="12.75">
      <c r="A53" s="151"/>
      <c r="B53" s="153"/>
      <c r="C53" s="1151"/>
      <c r="D53" s="66" t="s">
        <v>27</v>
      </c>
      <c r="E53" s="67"/>
      <c r="F53" s="101">
        <f>SUMIF($D$8:$D$47,"=IV",F8:F47)</f>
        <v>174.67200000000003</v>
      </c>
      <c r="G53" s="101">
        <f>SUMIF($D$8:$D$47,"=IV",G8:G47)</f>
        <v>71.06599999999999</v>
      </c>
      <c r="H53" s="101">
        <f>SUMIF($D$8:$D$47,"=IV",H8:H47)</f>
        <v>103.60600000000001</v>
      </c>
      <c r="J53" s="121"/>
    </row>
    <row r="54" spans="1:8" ht="12.75">
      <c r="A54" s="152"/>
      <c r="B54" s="154"/>
      <c r="C54" s="1151"/>
      <c r="D54" s="66" t="s">
        <v>49</v>
      </c>
      <c r="E54" s="64"/>
      <c r="F54" s="101">
        <f>SUMIF($D$8:$D$47,"=V",F8:F47)</f>
        <v>2.6</v>
      </c>
      <c r="G54" s="101">
        <f>SUMIF($D$8:$D$47,"=V",G8:G47)</f>
        <v>2.6</v>
      </c>
      <c r="H54" s="101">
        <f>SUMIF($D$8:$D$47,"=V",H8:H47)</f>
        <v>0</v>
      </c>
    </row>
    <row r="55" spans="3:4" ht="12.75">
      <c r="C55" s="7"/>
      <c r="D55" s="3"/>
    </row>
    <row r="56" spans="3:4" ht="12.75">
      <c r="C56" s="7"/>
      <c r="D56" s="3"/>
    </row>
    <row r="57" spans="3:6" ht="12.75">
      <c r="C57" s="7"/>
      <c r="D57" s="3"/>
      <c r="F57" s="121"/>
    </row>
    <row r="58" spans="3:4" ht="12.75">
      <c r="C58" s="7"/>
      <c r="D58" s="3"/>
    </row>
    <row r="59" spans="3:4" ht="12.75">
      <c r="C59" s="7"/>
      <c r="D59" s="3"/>
    </row>
    <row r="60" spans="3:4" ht="12.75">
      <c r="C60" s="7"/>
      <c r="D60" s="3"/>
    </row>
    <row r="61" spans="3:4" ht="12.75">
      <c r="C61" s="7"/>
      <c r="D61" s="3"/>
    </row>
    <row r="62" spans="3:4" ht="12.75">
      <c r="C62" s="7"/>
      <c r="D62" s="3"/>
    </row>
    <row r="63" spans="3:4" ht="12.75">
      <c r="C63" s="7"/>
      <c r="D63" s="3"/>
    </row>
    <row r="64" spans="3:4" ht="12.75">
      <c r="C64" s="7"/>
      <c r="D64" s="3"/>
    </row>
    <row r="65" spans="3:4" ht="12.75">
      <c r="C65" s="7"/>
      <c r="D65" s="3"/>
    </row>
    <row r="66" spans="3:4" ht="12.75">
      <c r="C66" s="7"/>
      <c r="D66" s="3"/>
    </row>
    <row r="67" spans="3:4" ht="12.75">
      <c r="C67" s="7"/>
      <c r="D67" s="3"/>
    </row>
    <row r="68" spans="3:4" ht="12.75">
      <c r="C68" s="7"/>
      <c r="D68" s="3"/>
    </row>
    <row r="69" spans="3:4" ht="12.75">
      <c r="C69" s="7"/>
      <c r="D69" s="3"/>
    </row>
    <row r="70" spans="3:4" ht="12.75">
      <c r="C70" s="7"/>
      <c r="D70" s="3"/>
    </row>
    <row r="71" spans="3:4" ht="12.75">
      <c r="C71" s="7"/>
      <c r="D71" s="3"/>
    </row>
    <row r="72" spans="3:4" ht="12.75">
      <c r="C72" s="7"/>
      <c r="D72" s="3"/>
    </row>
    <row r="73" spans="3:4" ht="12.75">
      <c r="C73" s="7"/>
      <c r="D73" s="3"/>
    </row>
    <row r="74" spans="3:4" ht="12.75">
      <c r="C74" s="7"/>
      <c r="D74" s="3"/>
    </row>
    <row r="75" spans="3:4" ht="12.75">
      <c r="C75" s="7"/>
      <c r="D75" s="3"/>
    </row>
    <row r="76" spans="3:4" ht="12.75">
      <c r="C76" s="7"/>
      <c r="D76" s="3"/>
    </row>
  </sheetData>
  <sheetProtection/>
  <mergeCells count="186">
    <mergeCell ref="A44:A45"/>
    <mergeCell ref="B44:B45"/>
    <mergeCell ref="C44:C45"/>
    <mergeCell ref="D44:D45"/>
    <mergeCell ref="E44:E45"/>
    <mergeCell ref="F44:F45"/>
    <mergeCell ref="H12:H13"/>
    <mergeCell ref="G12:G13"/>
    <mergeCell ref="H16:H17"/>
    <mergeCell ref="H14:H15"/>
    <mergeCell ref="G16:G17"/>
    <mergeCell ref="G14:G15"/>
    <mergeCell ref="G18:G19"/>
    <mergeCell ref="H18:H19"/>
    <mergeCell ref="D14:D15"/>
    <mergeCell ref="F16:F17"/>
    <mergeCell ref="F22:F23"/>
    <mergeCell ref="F18:F19"/>
    <mergeCell ref="H22:H23"/>
    <mergeCell ref="G22:G23"/>
    <mergeCell ref="F20:F21"/>
    <mergeCell ref="H20:H21"/>
    <mergeCell ref="G20:G21"/>
    <mergeCell ref="E22:E23"/>
    <mergeCell ref="E18:E19"/>
    <mergeCell ref="E20:E21"/>
    <mergeCell ref="E26:E27"/>
    <mergeCell ref="D18:D19"/>
    <mergeCell ref="D16:D17"/>
    <mergeCell ref="E16:E17"/>
    <mergeCell ref="A32:A33"/>
    <mergeCell ref="E28:E29"/>
    <mergeCell ref="F26:F27"/>
    <mergeCell ref="B20:B21"/>
    <mergeCell ref="F24:F25"/>
    <mergeCell ref="E24:E25"/>
    <mergeCell ref="B26:B27"/>
    <mergeCell ref="D20:D21"/>
    <mergeCell ref="B22:B23"/>
    <mergeCell ref="C22:C23"/>
    <mergeCell ref="D28:D29"/>
    <mergeCell ref="C18:C19"/>
    <mergeCell ref="D24:D25"/>
    <mergeCell ref="C26:C27"/>
    <mergeCell ref="C20:C21"/>
    <mergeCell ref="D26:D27"/>
    <mergeCell ref="D22:D23"/>
    <mergeCell ref="B32:B33"/>
    <mergeCell ref="A48:A49"/>
    <mergeCell ref="D48:D49"/>
    <mergeCell ref="D34:D35"/>
    <mergeCell ref="A34:A35"/>
    <mergeCell ref="B34:B35"/>
    <mergeCell ref="C34:C35"/>
    <mergeCell ref="A36:A37"/>
    <mergeCell ref="B36:B37"/>
    <mergeCell ref="C36:C37"/>
    <mergeCell ref="A24:A25"/>
    <mergeCell ref="C24:C25"/>
    <mergeCell ref="B28:B29"/>
    <mergeCell ref="B24:B25"/>
    <mergeCell ref="B30:B31"/>
    <mergeCell ref="C30:C31"/>
    <mergeCell ref="A28:A29"/>
    <mergeCell ref="A30:A31"/>
    <mergeCell ref="C28:C29"/>
    <mergeCell ref="A26:A27"/>
    <mergeCell ref="F12:F13"/>
    <mergeCell ref="E12:E13"/>
    <mergeCell ref="D12:D13"/>
    <mergeCell ref="B18:B19"/>
    <mergeCell ref="B14:B15"/>
    <mergeCell ref="C14:C15"/>
    <mergeCell ref="C16:C17"/>
    <mergeCell ref="B16:B17"/>
    <mergeCell ref="F14:F15"/>
    <mergeCell ref="E14:E15"/>
    <mergeCell ref="A18:A19"/>
    <mergeCell ref="A22:A23"/>
    <mergeCell ref="A16:A17"/>
    <mergeCell ref="A12:A13"/>
    <mergeCell ref="B12:B13"/>
    <mergeCell ref="A10:A11"/>
    <mergeCell ref="A20:A21"/>
    <mergeCell ref="A14:A15"/>
    <mergeCell ref="A5:A7"/>
    <mergeCell ref="C12:C13"/>
    <mergeCell ref="B5:B7"/>
    <mergeCell ref="C10:C11"/>
    <mergeCell ref="B8:B9"/>
    <mergeCell ref="B10:B11"/>
    <mergeCell ref="A8:A9"/>
    <mergeCell ref="L5:N5"/>
    <mergeCell ref="H10:H11"/>
    <mergeCell ref="G8:G9"/>
    <mergeCell ref="H8:H9"/>
    <mergeCell ref="M6:N6"/>
    <mergeCell ref="J6:K6"/>
    <mergeCell ref="L6:L7"/>
    <mergeCell ref="I6:I7"/>
    <mergeCell ref="H6:H7"/>
    <mergeCell ref="A1:N1"/>
    <mergeCell ref="A2:N2"/>
    <mergeCell ref="A3:N3"/>
    <mergeCell ref="F5:F7"/>
    <mergeCell ref="G6:G7"/>
    <mergeCell ref="D5:D7"/>
    <mergeCell ref="I5:K5"/>
    <mergeCell ref="G5:H5"/>
    <mergeCell ref="E5:E7"/>
    <mergeCell ref="C5:C7"/>
    <mergeCell ref="G26:G27"/>
    <mergeCell ref="H26:H27"/>
    <mergeCell ref="F10:F11"/>
    <mergeCell ref="C8:C9"/>
    <mergeCell ref="E8:E9"/>
    <mergeCell ref="F8:F9"/>
    <mergeCell ref="E10:E11"/>
    <mergeCell ref="G10:G11"/>
    <mergeCell ref="D8:D9"/>
    <mergeCell ref="D10:D11"/>
    <mergeCell ref="G24:G25"/>
    <mergeCell ref="F28:F29"/>
    <mergeCell ref="F30:F31"/>
    <mergeCell ref="G30:G31"/>
    <mergeCell ref="H32:H33"/>
    <mergeCell ref="H30:H31"/>
    <mergeCell ref="G32:G33"/>
    <mergeCell ref="H28:H29"/>
    <mergeCell ref="G28:G29"/>
    <mergeCell ref="F32:F33"/>
    <mergeCell ref="E32:E33"/>
    <mergeCell ref="C32:C33"/>
    <mergeCell ref="D32:D33"/>
    <mergeCell ref="E30:E31"/>
    <mergeCell ref="C50:C54"/>
    <mergeCell ref="D40:D41"/>
    <mergeCell ref="C48:C49"/>
    <mergeCell ref="D36:D37"/>
    <mergeCell ref="E48:E49"/>
    <mergeCell ref="D30:D31"/>
    <mergeCell ref="H40:H41"/>
    <mergeCell ref="E40:E41"/>
    <mergeCell ref="F40:F41"/>
    <mergeCell ref="G40:G41"/>
    <mergeCell ref="H48:H49"/>
    <mergeCell ref="G48:G49"/>
    <mergeCell ref="F48:F49"/>
    <mergeCell ref="G44:G45"/>
    <mergeCell ref="H44:H45"/>
    <mergeCell ref="G46:G47"/>
    <mergeCell ref="G38:G39"/>
    <mergeCell ref="A40:A41"/>
    <mergeCell ref="B40:B41"/>
    <mergeCell ref="C40:C41"/>
    <mergeCell ref="A38:A39"/>
    <mergeCell ref="B38:B39"/>
    <mergeCell ref="C38:C39"/>
    <mergeCell ref="D38:D39"/>
    <mergeCell ref="E38:E39"/>
    <mergeCell ref="F38:F39"/>
    <mergeCell ref="G34:G35"/>
    <mergeCell ref="G36:G37"/>
    <mergeCell ref="E36:E37"/>
    <mergeCell ref="F34:F35"/>
    <mergeCell ref="E34:E35"/>
    <mergeCell ref="F36:F37"/>
    <mergeCell ref="H24:H25"/>
    <mergeCell ref="H38:H39"/>
    <mergeCell ref="H34:H35"/>
    <mergeCell ref="H36:H37"/>
    <mergeCell ref="A42:A43"/>
    <mergeCell ref="B42:B43"/>
    <mergeCell ref="C42:C43"/>
    <mergeCell ref="D42:D43"/>
    <mergeCell ref="E42:E43"/>
    <mergeCell ref="F42:F43"/>
    <mergeCell ref="G42:G43"/>
    <mergeCell ref="H42:H43"/>
    <mergeCell ref="H46:H47"/>
    <mergeCell ref="A46:A47"/>
    <mergeCell ref="B46:B47"/>
    <mergeCell ref="C46:C47"/>
    <mergeCell ref="D46:D47"/>
    <mergeCell ref="E46:E47"/>
    <mergeCell ref="F46:F47"/>
  </mergeCells>
  <printOptions/>
  <pageMargins left="0.7874015748031497" right="0.7874015748031497" top="0.984251968503937" bottom="0.5118110236220472" header="0.5118110236220472" footer="0.3937007874015748"/>
  <pageSetup firstPageNumber="1" useFirstPageNumber="1" fitToHeight="0" fitToWidth="1" horizontalDpi="300" verticalDpi="300" orientation="landscape" paperSize="9" scale="94" r:id="rId1"/>
  <headerFooter alignWithMargins="0">
    <oddFooter>&amp;CСтраница &amp;P</oddFooter>
  </headerFooter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9"/>
  <sheetViews>
    <sheetView view="pageBreakPreview" zoomScaleSheetLayoutView="100" zoomScalePageLayoutView="0" workbookViewId="0" topLeftCell="C1">
      <selection activeCell="O1" sqref="O1:AB16384"/>
    </sheetView>
  </sheetViews>
  <sheetFormatPr defaultColWidth="9.00390625" defaultRowHeight="12.75"/>
  <cols>
    <col min="1" max="1" width="4.25390625" style="0" customWidth="1"/>
    <col min="2" max="2" width="13.125" style="53" customWidth="1"/>
    <col min="3" max="3" width="36.375" style="0" customWidth="1"/>
    <col min="4" max="4" width="9.25390625" style="0" customWidth="1"/>
    <col min="5" max="5" width="8.25390625" style="0" customWidth="1"/>
    <col min="7" max="7" width="7.125" style="0" customWidth="1"/>
    <col min="8" max="8" width="8.75390625" style="0" customWidth="1"/>
    <col min="9" max="9" width="7.0039062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1234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1" t="s">
        <v>1411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7"/>
      <c r="B7" s="1205"/>
      <c r="C7" s="1215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12">
      <c r="A8" s="1239">
        <v>1</v>
      </c>
      <c r="B8" s="1306" t="s">
        <v>1032</v>
      </c>
      <c r="C8" s="1304" t="s">
        <v>275</v>
      </c>
      <c r="D8" s="1313" t="s">
        <v>102</v>
      </c>
      <c r="E8" s="1263" t="s">
        <v>312</v>
      </c>
      <c r="F8" s="1306">
        <f>G8+H8</f>
        <v>20.5</v>
      </c>
      <c r="G8" s="1276">
        <v>20.5</v>
      </c>
      <c r="H8" s="1276">
        <v>0</v>
      </c>
      <c r="I8" s="660">
        <f aca="true" t="shared" si="0" ref="I8:I56">J8+K8</f>
        <v>1</v>
      </c>
      <c r="J8" s="661">
        <v>1</v>
      </c>
      <c r="K8" s="664">
        <v>0</v>
      </c>
      <c r="L8" s="660">
        <f aca="true" t="shared" si="1" ref="L8:L56">M8+N8</f>
        <v>9</v>
      </c>
      <c r="M8" s="661">
        <v>9</v>
      </c>
      <c r="N8" s="660">
        <v>0</v>
      </c>
    </row>
    <row r="9" spans="1:14" s="266" customFormat="1" ht="12.75" thickBot="1">
      <c r="A9" s="1240"/>
      <c r="B9" s="1253"/>
      <c r="C9" s="1305"/>
      <c r="D9" s="1793"/>
      <c r="E9" s="1264"/>
      <c r="F9" s="1253"/>
      <c r="G9" s="1325"/>
      <c r="H9" s="1325"/>
      <c r="I9" s="911">
        <f t="shared" si="0"/>
        <v>24.74</v>
      </c>
      <c r="J9" s="663">
        <v>24.74</v>
      </c>
      <c r="K9" s="479">
        <v>0</v>
      </c>
      <c r="L9" s="903">
        <f t="shared" si="1"/>
        <v>158</v>
      </c>
      <c r="M9" s="951">
        <v>158</v>
      </c>
      <c r="N9" s="903">
        <v>0</v>
      </c>
    </row>
    <row r="10" spans="1:14" s="266" customFormat="1" ht="12">
      <c r="A10" s="1239">
        <v>2</v>
      </c>
      <c r="B10" s="1241" t="s">
        <v>1046</v>
      </c>
      <c r="C10" s="1243" t="s">
        <v>313</v>
      </c>
      <c r="D10" s="1245" t="s">
        <v>27</v>
      </c>
      <c r="E10" s="1257" t="s">
        <v>314</v>
      </c>
      <c r="F10" s="1241">
        <f>G10+H10</f>
        <v>33.6</v>
      </c>
      <c r="G10" s="1249">
        <v>0</v>
      </c>
      <c r="H10" s="1249">
        <v>33.6</v>
      </c>
      <c r="I10" s="263">
        <f t="shared" si="0"/>
        <v>2</v>
      </c>
      <c r="J10" s="265">
        <v>1</v>
      </c>
      <c r="K10" s="325">
        <v>1</v>
      </c>
      <c r="L10" s="263">
        <f t="shared" si="1"/>
        <v>31</v>
      </c>
      <c r="M10" s="265">
        <v>20</v>
      </c>
      <c r="N10" s="263">
        <v>11</v>
      </c>
    </row>
    <row r="11" spans="1:14" s="266" customFormat="1" ht="12.75" thickBot="1">
      <c r="A11" s="1240"/>
      <c r="B11" s="1242"/>
      <c r="C11" s="1244"/>
      <c r="D11" s="1246"/>
      <c r="E11" s="1261"/>
      <c r="F11" s="1242"/>
      <c r="G11" s="1250"/>
      <c r="H11" s="1250"/>
      <c r="I11" s="901">
        <f t="shared" si="0"/>
        <v>19.4</v>
      </c>
      <c r="J11" s="327">
        <v>12.4</v>
      </c>
      <c r="K11" s="792">
        <v>7</v>
      </c>
      <c r="L11" s="898">
        <f t="shared" si="1"/>
        <v>384</v>
      </c>
      <c r="M11" s="907">
        <v>272</v>
      </c>
      <c r="N11" s="898">
        <v>112</v>
      </c>
    </row>
    <row r="12" spans="1:14" s="266" customFormat="1" ht="12" customHeight="1">
      <c r="A12" s="1239">
        <v>3</v>
      </c>
      <c r="B12" s="1241" t="s">
        <v>1047</v>
      </c>
      <c r="C12" s="1243" t="s">
        <v>530</v>
      </c>
      <c r="D12" s="1245" t="s">
        <v>27</v>
      </c>
      <c r="E12" s="1257" t="s">
        <v>1240</v>
      </c>
      <c r="F12" s="1241">
        <f>G12+H12</f>
        <v>68.4</v>
      </c>
      <c r="G12" s="1249">
        <v>28.4</v>
      </c>
      <c r="H12" s="1249">
        <v>40</v>
      </c>
      <c r="I12" s="263">
        <f t="shared" si="0"/>
        <v>10</v>
      </c>
      <c r="J12" s="264">
        <v>10</v>
      </c>
      <c r="K12" s="325">
        <v>0</v>
      </c>
      <c r="L12" s="263">
        <f t="shared" si="1"/>
        <v>61</v>
      </c>
      <c r="M12" s="264">
        <v>53</v>
      </c>
      <c r="N12" s="263">
        <v>8</v>
      </c>
    </row>
    <row r="13" spans="1:14" s="266" customFormat="1" ht="36" customHeight="1">
      <c r="A13" s="1307"/>
      <c r="B13" s="1308"/>
      <c r="C13" s="1792"/>
      <c r="D13" s="1792"/>
      <c r="E13" s="1792"/>
      <c r="F13" s="1393"/>
      <c r="G13" s="1414"/>
      <c r="H13" s="1414"/>
      <c r="I13" s="945">
        <f t="shared" si="0"/>
        <v>166.14</v>
      </c>
      <c r="J13" s="489">
        <v>166.14</v>
      </c>
      <c r="K13" s="943">
        <v>0</v>
      </c>
      <c r="L13" s="908">
        <f t="shared" si="1"/>
        <v>924</v>
      </c>
      <c r="M13" s="879">
        <v>813</v>
      </c>
      <c r="N13" s="908">
        <v>111</v>
      </c>
    </row>
    <row r="14" spans="1:14" s="266" customFormat="1" ht="15" customHeight="1" thickBot="1">
      <c r="A14" s="1240"/>
      <c r="B14" s="1242"/>
      <c r="C14" s="500" t="s">
        <v>1239</v>
      </c>
      <c r="D14" s="490" t="s">
        <v>27</v>
      </c>
      <c r="E14" s="490" t="s">
        <v>1238</v>
      </c>
      <c r="F14" s="901">
        <f>G14+H14</f>
        <v>11</v>
      </c>
      <c r="G14" s="901">
        <v>0</v>
      </c>
      <c r="H14" s="901">
        <v>11</v>
      </c>
      <c r="I14" s="346"/>
      <c r="J14" s="346"/>
      <c r="K14" s="940"/>
      <c r="L14" s="940"/>
      <c r="M14" s="940"/>
      <c r="N14" s="940"/>
    </row>
    <row r="15" spans="1:14" s="266" customFormat="1" ht="12">
      <c r="A15" s="1239">
        <v>4</v>
      </c>
      <c r="B15" s="1241" t="s">
        <v>1048</v>
      </c>
      <c r="C15" s="1243" t="s">
        <v>315</v>
      </c>
      <c r="D15" s="1245" t="s">
        <v>27</v>
      </c>
      <c r="E15" s="1245" t="s">
        <v>316</v>
      </c>
      <c r="F15" s="1241">
        <f>G15+H15</f>
        <v>23.1</v>
      </c>
      <c r="G15" s="1249">
        <v>7</v>
      </c>
      <c r="H15" s="1249">
        <v>16.1</v>
      </c>
      <c r="I15" s="263">
        <f t="shared" si="0"/>
        <v>3</v>
      </c>
      <c r="J15" s="264">
        <v>3</v>
      </c>
      <c r="K15" s="265">
        <v>0</v>
      </c>
      <c r="L15" s="263">
        <f t="shared" si="1"/>
        <v>17</v>
      </c>
      <c r="M15" s="264">
        <v>10</v>
      </c>
      <c r="N15" s="263">
        <v>7</v>
      </c>
    </row>
    <row r="16" spans="1:14" s="266" customFormat="1" ht="12.75" thickBot="1">
      <c r="A16" s="1240"/>
      <c r="B16" s="1242"/>
      <c r="C16" s="1244"/>
      <c r="D16" s="1246"/>
      <c r="E16" s="1246"/>
      <c r="F16" s="1242"/>
      <c r="G16" s="1250"/>
      <c r="H16" s="1250"/>
      <c r="I16" s="898">
        <f t="shared" si="0"/>
        <v>61.22</v>
      </c>
      <c r="J16" s="949">
        <v>61.22</v>
      </c>
      <c r="K16" s="907">
        <v>0</v>
      </c>
      <c r="L16" s="898">
        <f t="shared" si="1"/>
        <v>260</v>
      </c>
      <c r="M16" s="949">
        <v>156</v>
      </c>
      <c r="N16" s="898">
        <v>104</v>
      </c>
    </row>
    <row r="17" spans="1:14" s="266" customFormat="1" ht="12">
      <c r="A17" s="1239">
        <v>5</v>
      </c>
      <c r="B17" s="1241" t="s">
        <v>1049</v>
      </c>
      <c r="C17" s="1243" t="s">
        <v>317</v>
      </c>
      <c r="D17" s="1245" t="s">
        <v>27</v>
      </c>
      <c r="E17" s="1245" t="s">
        <v>610</v>
      </c>
      <c r="F17" s="1241">
        <f>G17+H17</f>
        <v>9.855</v>
      </c>
      <c r="G17" s="1249">
        <v>0</v>
      </c>
      <c r="H17" s="1247">
        <v>9.855</v>
      </c>
      <c r="I17" s="263">
        <f t="shared" si="0"/>
        <v>2</v>
      </c>
      <c r="J17" s="265">
        <v>2</v>
      </c>
      <c r="K17" s="325">
        <v>0</v>
      </c>
      <c r="L17" s="263">
        <f t="shared" si="1"/>
        <v>4</v>
      </c>
      <c r="M17" s="265">
        <v>4</v>
      </c>
      <c r="N17" s="263">
        <v>0</v>
      </c>
    </row>
    <row r="18" spans="1:14" s="266" customFormat="1" ht="12.75" thickBot="1">
      <c r="A18" s="1240"/>
      <c r="B18" s="1242"/>
      <c r="C18" s="1244"/>
      <c r="D18" s="1246"/>
      <c r="E18" s="1246"/>
      <c r="F18" s="1242"/>
      <c r="G18" s="1250"/>
      <c r="H18" s="1248"/>
      <c r="I18" s="901">
        <f t="shared" si="0"/>
        <v>21.5</v>
      </c>
      <c r="J18" s="327">
        <v>21.5</v>
      </c>
      <c r="K18" s="950">
        <v>0</v>
      </c>
      <c r="L18" s="898">
        <f t="shared" si="1"/>
        <v>66</v>
      </c>
      <c r="M18" s="907">
        <v>66</v>
      </c>
      <c r="N18" s="898">
        <v>0</v>
      </c>
    </row>
    <row r="19" spans="1:14" s="266" customFormat="1" ht="12">
      <c r="A19" s="1239">
        <v>6</v>
      </c>
      <c r="B19" s="1241" t="s">
        <v>1050</v>
      </c>
      <c r="C19" s="1243" t="s">
        <v>318</v>
      </c>
      <c r="D19" s="1245" t="s">
        <v>27</v>
      </c>
      <c r="E19" s="1241" t="s">
        <v>611</v>
      </c>
      <c r="F19" s="1241">
        <f>G19+H19</f>
        <v>7.72</v>
      </c>
      <c r="G19" s="1249">
        <v>7.72</v>
      </c>
      <c r="H19" s="1249">
        <v>0</v>
      </c>
      <c r="I19" s="263">
        <f t="shared" si="0"/>
        <v>0</v>
      </c>
      <c r="J19" s="264">
        <v>0</v>
      </c>
      <c r="K19" s="325">
        <v>0</v>
      </c>
      <c r="L19" s="263">
        <f t="shared" si="1"/>
        <v>2</v>
      </c>
      <c r="M19" s="264">
        <v>2</v>
      </c>
      <c r="N19" s="263">
        <v>0</v>
      </c>
    </row>
    <row r="20" spans="1:14" s="266" customFormat="1" ht="12.75" thickBot="1">
      <c r="A20" s="1240"/>
      <c r="B20" s="1242"/>
      <c r="C20" s="1244"/>
      <c r="D20" s="1246"/>
      <c r="E20" s="1242"/>
      <c r="F20" s="1242"/>
      <c r="G20" s="1250"/>
      <c r="H20" s="1250"/>
      <c r="I20" s="898">
        <f t="shared" si="0"/>
        <v>0</v>
      </c>
      <c r="J20" s="949">
        <v>0</v>
      </c>
      <c r="K20" s="950">
        <v>0</v>
      </c>
      <c r="L20" s="898">
        <f t="shared" si="1"/>
        <v>33</v>
      </c>
      <c r="M20" s="949">
        <v>33</v>
      </c>
      <c r="N20" s="898">
        <v>0</v>
      </c>
    </row>
    <row r="21" spans="1:14" s="266" customFormat="1" ht="12">
      <c r="A21" s="1239">
        <v>7</v>
      </c>
      <c r="B21" s="1241" t="s">
        <v>1051</v>
      </c>
      <c r="C21" s="1243" t="s">
        <v>319</v>
      </c>
      <c r="D21" s="1245" t="s">
        <v>27</v>
      </c>
      <c r="E21" s="1241" t="s">
        <v>150</v>
      </c>
      <c r="F21" s="1241">
        <f>G21+H21</f>
        <v>8.8</v>
      </c>
      <c r="G21" s="1241">
        <v>0</v>
      </c>
      <c r="H21" s="1241">
        <v>8.8</v>
      </c>
      <c r="I21" s="263">
        <f t="shared" si="0"/>
        <v>0</v>
      </c>
      <c r="J21" s="265">
        <v>0</v>
      </c>
      <c r="K21" s="325">
        <v>0</v>
      </c>
      <c r="L21" s="263">
        <f t="shared" si="1"/>
        <v>7</v>
      </c>
      <c r="M21" s="265">
        <v>7</v>
      </c>
      <c r="N21" s="263">
        <v>0</v>
      </c>
    </row>
    <row r="22" spans="1:14" s="266" customFormat="1" ht="12.75" thickBot="1">
      <c r="A22" s="1240"/>
      <c r="B22" s="1242"/>
      <c r="C22" s="1244"/>
      <c r="D22" s="1246"/>
      <c r="E22" s="1242"/>
      <c r="F22" s="1242"/>
      <c r="G22" s="1242"/>
      <c r="H22" s="1242"/>
      <c r="I22" s="898">
        <f t="shared" si="0"/>
        <v>0</v>
      </c>
      <c r="J22" s="907">
        <v>0</v>
      </c>
      <c r="K22" s="950">
        <v>0</v>
      </c>
      <c r="L22" s="898">
        <f t="shared" si="1"/>
        <v>102</v>
      </c>
      <c r="M22" s="907">
        <v>102</v>
      </c>
      <c r="N22" s="898">
        <v>0</v>
      </c>
    </row>
    <row r="23" spans="1:14" s="266" customFormat="1" ht="12">
      <c r="A23" s="1239">
        <v>8</v>
      </c>
      <c r="B23" s="1241" t="s">
        <v>1052</v>
      </c>
      <c r="C23" s="1243" t="s">
        <v>320</v>
      </c>
      <c r="D23" s="1245" t="s">
        <v>27</v>
      </c>
      <c r="E23" s="1241" t="s">
        <v>588</v>
      </c>
      <c r="F23" s="1241">
        <f>G23+H23</f>
        <v>12.459</v>
      </c>
      <c r="G23" s="1249">
        <v>0</v>
      </c>
      <c r="H23" s="1247">
        <v>12.459</v>
      </c>
      <c r="I23" s="263">
        <f t="shared" si="0"/>
        <v>1</v>
      </c>
      <c r="J23" s="264">
        <v>1</v>
      </c>
      <c r="K23" s="325">
        <v>0</v>
      </c>
      <c r="L23" s="263">
        <f t="shared" si="1"/>
        <v>10</v>
      </c>
      <c r="M23" s="264">
        <v>9</v>
      </c>
      <c r="N23" s="263">
        <v>1</v>
      </c>
    </row>
    <row r="24" spans="1:14" s="266" customFormat="1" ht="12.75" thickBot="1">
      <c r="A24" s="1240"/>
      <c r="B24" s="1242"/>
      <c r="C24" s="1244"/>
      <c r="D24" s="1246"/>
      <c r="E24" s="1242"/>
      <c r="F24" s="1242"/>
      <c r="G24" s="1250"/>
      <c r="H24" s="1248"/>
      <c r="I24" s="901">
        <f t="shared" si="0"/>
        <v>6.5</v>
      </c>
      <c r="J24" s="326">
        <v>6.5</v>
      </c>
      <c r="K24" s="950">
        <v>0</v>
      </c>
      <c r="L24" s="898">
        <f t="shared" si="1"/>
        <v>172</v>
      </c>
      <c r="M24" s="949">
        <v>161</v>
      </c>
      <c r="N24" s="898">
        <v>11</v>
      </c>
    </row>
    <row r="25" spans="1:14" s="266" customFormat="1" ht="12">
      <c r="A25" s="1239">
        <v>9</v>
      </c>
      <c r="B25" s="1241" t="s">
        <v>1053</v>
      </c>
      <c r="C25" s="1309" t="s">
        <v>321</v>
      </c>
      <c r="D25" s="1245" t="s">
        <v>27</v>
      </c>
      <c r="E25" s="1241" t="s">
        <v>115</v>
      </c>
      <c r="F25" s="1241">
        <f>G25+H25</f>
        <v>7.5</v>
      </c>
      <c r="G25" s="1249">
        <v>0</v>
      </c>
      <c r="H25" s="1249">
        <v>7.5</v>
      </c>
      <c r="I25" s="263">
        <f t="shared" si="0"/>
        <v>0</v>
      </c>
      <c r="J25" s="264">
        <v>0</v>
      </c>
      <c r="K25" s="325">
        <v>0</v>
      </c>
      <c r="L25" s="263">
        <f t="shared" si="1"/>
        <v>5</v>
      </c>
      <c r="M25" s="264">
        <v>5</v>
      </c>
      <c r="N25" s="263">
        <v>0</v>
      </c>
    </row>
    <row r="26" spans="1:14" s="266" customFormat="1" ht="12.75" thickBot="1">
      <c r="A26" s="1240"/>
      <c r="B26" s="1242"/>
      <c r="C26" s="1310"/>
      <c r="D26" s="1246"/>
      <c r="E26" s="1242"/>
      <c r="F26" s="1242"/>
      <c r="G26" s="1250"/>
      <c r="H26" s="1250"/>
      <c r="I26" s="898">
        <f t="shared" si="0"/>
        <v>0</v>
      </c>
      <c r="J26" s="949">
        <v>0</v>
      </c>
      <c r="K26" s="950">
        <v>0</v>
      </c>
      <c r="L26" s="898">
        <f t="shared" si="1"/>
        <v>81</v>
      </c>
      <c r="M26" s="949">
        <v>81</v>
      </c>
      <c r="N26" s="898">
        <v>0</v>
      </c>
    </row>
    <row r="27" spans="1:14" s="266" customFormat="1" ht="12">
      <c r="A27" s="1239">
        <v>10</v>
      </c>
      <c r="B27" s="1241" t="s">
        <v>1054</v>
      </c>
      <c r="C27" s="1309" t="s">
        <v>322</v>
      </c>
      <c r="D27" s="1245" t="s">
        <v>27</v>
      </c>
      <c r="E27" s="1241" t="s">
        <v>20</v>
      </c>
      <c r="F27" s="1241">
        <f>G27+H27</f>
        <v>8</v>
      </c>
      <c r="G27" s="1249">
        <v>0</v>
      </c>
      <c r="H27" s="1249">
        <v>8</v>
      </c>
      <c r="I27" s="263">
        <f t="shared" si="0"/>
        <v>0</v>
      </c>
      <c r="J27" s="264">
        <v>0</v>
      </c>
      <c r="K27" s="325">
        <v>0</v>
      </c>
      <c r="L27" s="263">
        <f t="shared" si="1"/>
        <v>5</v>
      </c>
      <c r="M27" s="264">
        <v>2</v>
      </c>
      <c r="N27" s="263">
        <v>3</v>
      </c>
    </row>
    <row r="28" spans="1:14" s="266" customFormat="1" ht="12.75" thickBot="1">
      <c r="A28" s="1240"/>
      <c r="B28" s="1242"/>
      <c r="C28" s="1310"/>
      <c r="D28" s="1246"/>
      <c r="E28" s="1242"/>
      <c r="F28" s="1242"/>
      <c r="G28" s="1250"/>
      <c r="H28" s="1250"/>
      <c r="I28" s="898">
        <f t="shared" si="0"/>
        <v>0</v>
      </c>
      <c r="J28" s="949">
        <v>0</v>
      </c>
      <c r="K28" s="950">
        <v>0</v>
      </c>
      <c r="L28" s="898">
        <f t="shared" si="1"/>
        <v>66</v>
      </c>
      <c r="M28" s="949">
        <v>30</v>
      </c>
      <c r="N28" s="898">
        <v>36</v>
      </c>
    </row>
    <row r="29" spans="1:14" s="266" customFormat="1" ht="12">
      <c r="A29" s="1239">
        <v>11</v>
      </c>
      <c r="B29" s="1241" t="s">
        <v>1055</v>
      </c>
      <c r="C29" s="1243" t="s">
        <v>323</v>
      </c>
      <c r="D29" s="1245" t="s">
        <v>27</v>
      </c>
      <c r="E29" s="1241" t="s">
        <v>115</v>
      </c>
      <c r="F29" s="1241">
        <f>G29+H29</f>
        <v>7.5</v>
      </c>
      <c r="G29" s="1249">
        <v>0</v>
      </c>
      <c r="H29" s="1249">
        <v>7.5</v>
      </c>
      <c r="I29" s="263">
        <f t="shared" si="0"/>
        <v>0</v>
      </c>
      <c r="J29" s="264">
        <v>0</v>
      </c>
      <c r="K29" s="325">
        <v>0</v>
      </c>
      <c r="L29" s="263">
        <f t="shared" si="1"/>
        <v>5</v>
      </c>
      <c r="M29" s="264">
        <v>5</v>
      </c>
      <c r="N29" s="263">
        <v>0</v>
      </c>
    </row>
    <row r="30" spans="1:14" s="266" customFormat="1" ht="12.75" thickBot="1">
      <c r="A30" s="1240"/>
      <c r="B30" s="1242"/>
      <c r="C30" s="1244"/>
      <c r="D30" s="1246"/>
      <c r="E30" s="1242"/>
      <c r="F30" s="1242"/>
      <c r="G30" s="1250"/>
      <c r="H30" s="1250"/>
      <c r="I30" s="898">
        <f t="shared" si="0"/>
        <v>0</v>
      </c>
      <c r="J30" s="949">
        <v>0</v>
      </c>
      <c r="K30" s="950">
        <v>0</v>
      </c>
      <c r="L30" s="898">
        <f t="shared" si="1"/>
        <v>89</v>
      </c>
      <c r="M30" s="949">
        <v>89</v>
      </c>
      <c r="N30" s="898">
        <v>0</v>
      </c>
    </row>
    <row r="31" spans="1:14" s="266" customFormat="1" ht="12">
      <c r="A31" s="1239">
        <v>12</v>
      </c>
      <c r="B31" s="1241" t="s">
        <v>1056</v>
      </c>
      <c r="C31" s="1243" t="s">
        <v>434</v>
      </c>
      <c r="D31" s="1245" t="s">
        <v>27</v>
      </c>
      <c r="E31" s="1241" t="s">
        <v>589</v>
      </c>
      <c r="F31" s="1241">
        <f>G31+H31</f>
        <v>1.463</v>
      </c>
      <c r="G31" s="1249">
        <v>0</v>
      </c>
      <c r="H31" s="1247">
        <v>1.463</v>
      </c>
      <c r="I31" s="263">
        <f t="shared" si="0"/>
        <v>1</v>
      </c>
      <c r="J31" s="264">
        <v>1</v>
      </c>
      <c r="K31" s="325">
        <v>0</v>
      </c>
      <c r="L31" s="263">
        <f t="shared" si="1"/>
        <v>1</v>
      </c>
      <c r="M31" s="264">
        <v>1</v>
      </c>
      <c r="N31" s="263">
        <v>0</v>
      </c>
    </row>
    <row r="32" spans="1:14" s="266" customFormat="1" ht="12.75" thickBot="1">
      <c r="A32" s="1240"/>
      <c r="B32" s="1242"/>
      <c r="C32" s="1244"/>
      <c r="D32" s="1246"/>
      <c r="E32" s="1242"/>
      <c r="F32" s="1242"/>
      <c r="G32" s="1250"/>
      <c r="H32" s="1248"/>
      <c r="I32" s="901">
        <f t="shared" si="0"/>
        <v>15</v>
      </c>
      <c r="J32" s="326">
        <v>15</v>
      </c>
      <c r="K32" s="950">
        <v>0</v>
      </c>
      <c r="L32" s="898">
        <f t="shared" si="1"/>
        <v>16</v>
      </c>
      <c r="M32" s="949">
        <v>16</v>
      </c>
      <c r="N32" s="898">
        <v>0</v>
      </c>
    </row>
    <row r="33" spans="1:14" s="1" customFormat="1" ht="12.75" hidden="1" thickBot="1">
      <c r="A33" s="1573"/>
      <c r="B33" s="1573"/>
      <c r="C33" s="1575"/>
      <c r="D33" s="1791"/>
      <c r="E33" s="1787"/>
      <c r="F33" s="1573"/>
      <c r="G33" s="1786"/>
      <c r="H33" s="1786"/>
      <c r="I33" s="58"/>
      <c r="J33" s="56"/>
      <c r="K33" s="61"/>
      <c r="L33" s="58"/>
      <c r="M33" s="56"/>
      <c r="N33" s="58"/>
    </row>
    <row r="34" spans="1:14" s="1" customFormat="1" ht="12.75" hidden="1" thickBot="1">
      <c r="A34" s="1574"/>
      <c r="B34" s="1574"/>
      <c r="C34" s="1576"/>
      <c r="D34" s="1789"/>
      <c r="E34" s="1561"/>
      <c r="F34" s="1574"/>
      <c r="G34" s="1569"/>
      <c r="H34" s="1569"/>
      <c r="I34" s="25"/>
      <c r="J34" s="35"/>
      <c r="K34" s="11"/>
      <c r="L34" s="12"/>
      <c r="M34" s="16"/>
      <c r="N34" s="12"/>
    </row>
    <row r="35" spans="1:14" s="1" customFormat="1" ht="12.75" hidden="1" thickBot="1">
      <c r="A35" s="1446"/>
      <c r="B35" s="1446"/>
      <c r="C35" s="1599"/>
      <c r="D35" s="1788"/>
      <c r="E35" s="1598"/>
      <c r="F35" s="1446"/>
      <c r="G35" s="1790"/>
      <c r="H35" s="1790"/>
      <c r="I35" s="55"/>
      <c r="J35" s="61"/>
      <c r="K35" s="60"/>
      <c r="L35" s="55"/>
      <c r="M35" s="61"/>
      <c r="N35" s="55"/>
    </row>
    <row r="36" spans="1:14" s="1" customFormat="1" ht="12.75" hidden="1" thickBot="1">
      <c r="A36" s="1574"/>
      <c r="B36" s="1574"/>
      <c r="C36" s="1576"/>
      <c r="D36" s="1789"/>
      <c r="E36" s="1563"/>
      <c r="F36" s="1574"/>
      <c r="G36" s="1569"/>
      <c r="H36" s="1569"/>
      <c r="I36" s="12"/>
      <c r="J36" s="11"/>
      <c r="K36" s="15"/>
      <c r="L36" s="10"/>
      <c r="M36" s="11"/>
      <c r="N36" s="12"/>
    </row>
    <row r="37" spans="1:14" s="1" customFormat="1" ht="12.75" hidden="1" thickBot="1">
      <c r="A37" s="1446"/>
      <c r="B37" s="1598"/>
      <c r="C37" s="1599"/>
      <c r="D37" s="1788"/>
      <c r="E37" s="1598"/>
      <c r="F37" s="1446"/>
      <c r="G37" s="1790"/>
      <c r="H37" s="1790"/>
      <c r="I37" s="55"/>
      <c r="J37" s="59"/>
      <c r="K37" s="60"/>
      <c r="L37" s="55"/>
      <c r="M37" s="59"/>
      <c r="N37" s="55"/>
    </row>
    <row r="38" spans="1:14" s="1" customFormat="1" ht="13.5" customHeight="1" hidden="1">
      <c r="A38" s="1574"/>
      <c r="B38" s="1563"/>
      <c r="C38" s="1576"/>
      <c r="D38" s="1789"/>
      <c r="E38" s="1574"/>
      <c r="F38" s="1574"/>
      <c r="G38" s="1569"/>
      <c r="H38" s="1569"/>
      <c r="I38" s="26"/>
      <c r="J38" s="35"/>
      <c r="K38" s="15"/>
      <c r="L38" s="12"/>
      <c r="M38" s="16"/>
      <c r="N38" s="12"/>
    </row>
    <row r="39" spans="1:14" s="1" customFormat="1" ht="12.75" hidden="1" thickBot="1">
      <c r="A39" s="1446"/>
      <c r="B39" s="1446"/>
      <c r="C39" s="1599"/>
      <c r="D39" s="1788"/>
      <c r="E39" s="1788"/>
      <c r="F39" s="1446"/>
      <c r="G39" s="1790"/>
      <c r="H39" s="1790"/>
      <c r="I39" s="55"/>
      <c r="J39" s="61"/>
      <c r="K39" s="60"/>
      <c r="L39" s="55"/>
      <c r="M39" s="61"/>
      <c r="N39" s="55"/>
    </row>
    <row r="40" spans="1:14" s="1" customFormat="1" ht="13.5" customHeight="1" hidden="1">
      <c r="A40" s="1574"/>
      <c r="B40" s="1574"/>
      <c r="C40" s="1576"/>
      <c r="D40" s="1789"/>
      <c r="E40" s="1789"/>
      <c r="F40" s="1574"/>
      <c r="G40" s="1569"/>
      <c r="H40" s="1569"/>
      <c r="I40" s="12"/>
      <c r="J40" s="11"/>
      <c r="K40" s="15"/>
      <c r="L40" s="12"/>
      <c r="M40" s="11"/>
      <c r="N40" s="12"/>
    </row>
    <row r="41" spans="1:14" s="1" customFormat="1" ht="12.75" hidden="1" thickBot="1">
      <c r="A41" s="1446"/>
      <c r="B41" s="1446"/>
      <c r="C41" s="1599"/>
      <c r="D41" s="1788"/>
      <c r="E41" s="1446"/>
      <c r="F41" s="1446"/>
      <c r="G41" s="1790"/>
      <c r="H41" s="1790"/>
      <c r="I41" s="55"/>
      <c r="J41" s="59"/>
      <c r="K41" s="60"/>
      <c r="L41" s="55"/>
      <c r="M41" s="59"/>
      <c r="N41" s="55"/>
    </row>
    <row r="42" spans="1:14" s="1" customFormat="1" ht="13.5" customHeight="1" hidden="1">
      <c r="A42" s="1574"/>
      <c r="B42" s="1574"/>
      <c r="C42" s="1576"/>
      <c r="D42" s="1789"/>
      <c r="E42" s="1574"/>
      <c r="F42" s="1574"/>
      <c r="G42" s="1569"/>
      <c r="H42" s="1569"/>
      <c r="I42" s="12"/>
      <c r="J42" s="16"/>
      <c r="K42" s="15"/>
      <c r="L42" s="12"/>
      <c r="M42" s="16"/>
      <c r="N42" s="12"/>
    </row>
    <row r="43" spans="1:14" s="1" customFormat="1" ht="13.5" customHeight="1" hidden="1">
      <c r="A43" s="1446"/>
      <c r="B43" s="1598"/>
      <c r="C43" s="1599"/>
      <c r="D43" s="1788"/>
      <c r="E43" s="1446"/>
      <c r="F43" s="1446"/>
      <c r="G43" s="1790"/>
      <c r="H43" s="1790"/>
      <c r="I43" s="55"/>
      <c r="J43" s="61"/>
      <c r="K43" s="60"/>
      <c r="L43" s="55"/>
      <c r="M43" s="61"/>
      <c r="N43" s="55"/>
    </row>
    <row r="44" spans="1:14" s="1" customFormat="1" ht="13.5" customHeight="1" hidden="1">
      <c r="A44" s="1574"/>
      <c r="B44" s="1563"/>
      <c r="C44" s="1576"/>
      <c r="D44" s="1789"/>
      <c r="E44" s="1574"/>
      <c r="F44" s="1574"/>
      <c r="G44" s="1569"/>
      <c r="H44" s="1569"/>
      <c r="I44" s="12"/>
      <c r="J44" s="11"/>
      <c r="K44" s="15"/>
      <c r="L44" s="12"/>
      <c r="M44" s="11"/>
      <c r="N44" s="12"/>
    </row>
    <row r="45" spans="1:14" s="1" customFormat="1" ht="13.5" customHeight="1" hidden="1">
      <c r="A45" s="1446"/>
      <c r="B45" s="1446"/>
      <c r="C45" s="1599"/>
      <c r="D45" s="1788"/>
      <c r="E45" s="1446"/>
      <c r="F45" s="1446"/>
      <c r="G45" s="1790"/>
      <c r="H45" s="1790"/>
      <c r="I45" s="55"/>
      <c r="J45" s="59"/>
      <c r="K45" s="60"/>
      <c r="L45" s="55"/>
      <c r="M45" s="59"/>
      <c r="N45" s="55"/>
    </row>
    <row r="46" spans="1:14" s="1" customFormat="1" ht="13.5" customHeight="1" hidden="1">
      <c r="A46" s="1574"/>
      <c r="B46" s="1574"/>
      <c r="C46" s="1576"/>
      <c r="D46" s="1789"/>
      <c r="E46" s="1574"/>
      <c r="F46" s="1574"/>
      <c r="G46" s="1569"/>
      <c r="H46" s="1569"/>
      <c r="I46" s="25"/>
      <c r="J46" s="16"/>
      <c r="K46" s="15"/>
      <c r="L46" s="12"/>
      <c r="M46" s="16"/>
      <c r="N46" s="12"/>
    </row>
    <row r="47" spans="1:14" s="1" customFormat="1" ht="12.75" hidden="1" thickBot="1">
      <c r="A47" s="1446"/>
      <c r="B47" s="1446"/>
      <c r="C47" s="1798"/>
      <c r="D47" s="1788"/>
      <c r="E47" s="1446"/>
      <c r="F47" s="1446"/>
      <c r="G47" s="1790"/>
      <c r="H47" s="1790"/>
      <c r="I47" s="55"/>
      <c r="J47" s="59"/>
      <c r="K47" s="60"/>
      <c r="L47" s="55"/>
      <c r="M47" s="59"/>
      <c r="N47" s="55"/>
    </row>
    <row r="48" spans="1:14" s="1" customFormat="1" ht="12.75" hidden="1" thickBot="1">
      <c r="A48" s="1574"/>
      <c r="B48" s="1574"/>
      <c r="C48" s="1799"/>
      <c r="D48" s="1789"/>
      <c r="E48" s="1574"/>
      <c r="F48" s="1574"/>
      <c r="G48" s="1569"/>
      <c r="H48" s="1569"/>
      <c r="I48" s="12"/>
      <c r="J48" s="16"/>
      <c r="K48" s="15"/>
      <c r="L48" s="12"/>
      <c r="M48" s="16"/>
      <c r="N48" s="12"/>
    </row>
    <row r="49" spans="1:14" s="1" customFormat="1" ht="12.75" hidden="1" thickBot="1">
      <c r="A49" s="1446"/>
      <c r="B49" s="1446"/>
      <c r="C49" s="1798"/>
      <c r="D49" s="1788"/>
      <c r="E49" s="1446"/>
      <c r="F49" s="1446"/>
      <c r="G49" s="1790"/>
      <c r="H49" s="1790"/>
      <c r="I49" s="55"/>
      <c r="J49" s="56"/>
      <c r="K49" s="57"/>
      <c r="L49" s="55"/>
      <c r="M49" s="56"/>
      <c r="N49" s="58"/>
    </row>
    <row r="50" spans="1:14" s="1" customFormat="1" ht="12.75" hidden="1" thickBot="1">
      <c r="A50" s="1574"/>
      <c r="B50" s="1574"/>
      <c r="C50" s="1799"/>
      <c r="D50" s="1789"/>
      <c r="E50" s="1574"/>
      <c r="F50" s="1574"/>
      <c r="G50" s="1569"/>
      <c r="H50" s="1569"/>
      <c r="I50" s="12"/>
      <c r="J50" s="30"/>
      <c r="K50" s="29"/>
      <c r="L50" s="12"/>
      <c r="M50" s="30"/>
      <c r="N50" s="10"/>
    </row>
    <row r="51" spans="1:14" s="1" customFormat="1" ht="12.75" hidden="1" thickBot="1">
      <c r="A51" s="1446"/>
      <c r="B51" s="1446"/>
      <c r="C51" s="1599"/>
      <c r="D51" s="1788"/>
      <c r="E51" s="1446"/>
      <c r="F51" s="1446"/>
      <c r="G51" s="1790"/>
      <c r="H51" s="1790"/>
      <c r="I51" s="55"/>
      <c r="J51" s="59"/>
      <c r="K51" s="60"/>
      <c r="L51" s="55"/>
      <c r="M51" s="59"/>
      <c r="N51" s="55"/>
    </row>
    <row r="52" spans="1:14" s="1" customFormat="1" ht="12.75" hidden="1" thickBot="1">
      <c r="A52" s="1574"/>
      <c r="B52" s="1574"/>
      <c r="C52" s="1576"/>
      <c r="D52" s="1789"/>
      <c r="E52" s="1574"/>
      <c r="F52" s="1574"/>
      <c r="G52" s="1569"/>
      <c r="H52" s="1569"/>
      <c r="I52" s="12"/>
      <c r="J52" s="16"/>
      <c r="K52" s="15"/>
      <c r="L52" s="12"/>
      <c r="M52" s="16"/>
      <c r="N52" s="12"/>
    </row>
    <row r="53" spans="1:14" s="1" customFormat="1" ht="12.75" hidden="1" thickBot="1">
      <c r="A53" s="9">
        <v>22</v>
      </c>
      <c r="B53" s="9"/>
      <c r="C53" s="18"/>
      <c r="D53" s="37"/>
      <c r="E53" s="18"/>
      <c r="F53" s="11">
        <f>G53+H53</f>
        <v>0</v>
      </c>
      <c r="G53" s="24"/>
      <c r="H53" s="24"/>
      <c r="I53" s="17">
        <f>J53+K53</f>
        <v>0</v>
      </c>
      <c r="J53" s="9"/>
      <c r="K53" s="9"/>
      <c r="L53" s="10">
        <f>M53+N53</f>
        <v>0</v>
      </c>
      <c r="M53" s="9"/>
      <c r="N53" s="9"/>
    </row>
    <row r="54" spans="1:14" s="1" customFormat="1" ht="12.75" hidden="1" thickBot="1">
      <c r="A54" s="12"/>
      <c r="B54" s="12"/>
      <c r="C54" s="20"/>
      <c r="D54" s="38"/>
      <c r="E54" s="20"/>
      <c r="F54" s="11">
        <f>G54+H54</f>
        <v>0</v>
      </c>
      <c r="G54" s="25"/>
      <c r="H54" s="25"/>
      <c r="I54" s="17">
        <f>J54+K54</f>
        <v>0</v>
      </c>
      <c r="J54" s="12"/>
      <c r="K54" s="12"/>
      <c r="L54" s="17">
        <f>M54+N54</f>
        <v>0</v>
      </c>
      <c r="M54" s="12"/>
      <c r="N54" s="12"/>
    </row>
    <row r="55" spans="1:14" s="1" customFormat="1" ht="13.5" customHeight="1" hidden="1">
      <c r="A55" s="10">
        <v>23</v>
      </c>
      <c r="B55" s="10"/>
      <c r="C55" s="23"/>
      <c r="D55" s="37"/>
      <c r="E55" s="23"/>
      <c r="F55" s="11">
        <f>G55+H55</f>
        <v>0</v>
      </c>
      <c r="G55" s="26"/>
      <c r="H55" s="26"/>
      <c r="I55" s="17">
        <f t="shared" si="0"/>
        <v>0</v>
      </c>
      <c r="J55" s="10"/>
      <c r="K55" s="10"/>
      <c r="L55" s="17">
        <f t="shared" si="1"/>
        <v>0</v>
      </c>
      <c r="M55" s="10"/>
      <c r="N55" s="10"/>
    </row>
    <row r="56" spans="1:14" s="1" customFormat="1" ht="13.5" customHeight="1" hidden="1">
      <c r="A56" s="10"/>
      <c r="B56" s="10"/>
      <c r="C56" s="23"/>
      <c r="D56" s="42"/>
      <c r="E56" s="23"/>
      <c r="F56" s="11">
        <f>G56+H56</f>
        <v>0</v>
      </c>
      <c r="G56" s="26"/>
      <c r="H56" s="26"/>
      <c r="I56" s="10">
        <f t="shared" si="0"/>
        <v>0</v>
      </c>
      <c r="J56" s="10"/>
      <c r="K56" s="10"/>
      <c r="L56" s="10">
        <f t="shared" si="1"/>
        <v>0</v>
      </c>
      <c r="M56" s="10"/>
      <c r="N56" s="10"/>
    </row>
    <row r="57" spans="1:14" s="47" customFormat="1" ht="15.75" customHeight="1">
      <c r="A57" s="1796"/>
      <c r="B57" s="375"/>
      <c r="C57" s="1794" t="s">
        <v>229</v>
      </c>
      <c r="D57" s="1596"/>
      <c r="E57" s="1596"/>
      <c r="F57" s="1551">
        <f>G57+H57</f>
        <v>219.897</v>
      </c>
      <c r="G57" s="1551">
        <f>G8+G10+G12+G14+G15+G17+G19+G21+G23+G25+G27+G29+G31+G33+G35+G37+G39+G41+G43+G45+G47+G49+G51</f>
        <v>63.62</v>
      </c>
      <c r="H57" s="1551">
        <f>H8+H10+H12+H14+H15+H17+H19+H21+H23+H25+H27+H29+H31+H33+H35+H37+H39+H41+H43+H45+H47+H49+H51</f>
        <v>156.277</v>
      </c>
      <c r="I57" s="353">
        <f aca="true" t="shared" si="2" ref="I57:N58">I8+I10+I12+I15+I17+I19+I21+I23+I25+I27+I29+I31+I33+I35+I37+I39+I41+I43+I45+I47+I49+I51+I53+I55</f>
        <v>20</v>
      </c>
      <c r="J57" s="353">
        <f t="shared" si="2"/>
        <v>19</v>
      </c>
      <c r="K57" s="353">
        <f t="shared" si="2"/>
        <v>1</v>
      </c>
      <c r="L57" s="353">
        <f t="shared" si="2"/>
        <v>157</v>
      </c>
      <c r="M57" s="353">
        <f t="shared" si="2"/>
        <v>127</v>
      </c>
      <c r="N57" s="353">
        <f t="shared" si="2"/>
        <v>30</v>
      </c>
    </row>
    <row r="58" spans="1:14" s="47" customFormat="1" ht="12.75" thickBot="1">
      <c r="A58" s="1797"/>
      <c r="B58" s="376"/>
      <c r="C58" s="1795"/>
      <c r="D58" s="1597"/>
      <c r="E58" s="1597"/>
      <c r="F58" s="1552"/>
      <c r="G58" s="1552"/>
      <c r="H58" s="1552"/>
      <c r="I58" s="354">
        <f t="shared" si="2"/>
        <v>314.5</v>
      </c>
      <c r="J58" s="354">
        <f t="shared" si="2"/>
        <v>307.5</v>
      </c>
      <c r="K58" s="354">
        <f t="shared" si="2"/>
        <v>7</v>
      </c>
      <c r="L58" s="377">
        <f t="shared" si="2"/>
        <v>2351</v>
      </c>
      <c r="M58" s="377">
        <f t="shared" si="2"/>
        <v>1977</v>
      </c>
      <c r="N58" s="377">
        <f t="shared" si="2"/>
        <v>374</v>
      </c>
    </row>
    <row r="59" spans="1:8" ht="12.75" customHeight="1">
      <c r="A59" s="103"/>
      <c r="B59" s="253"/>
      <c r="C59" s="1800" t="s">
        <v>454</v>
      </c>
      <c r="D59" s="161" t="s">
        <v>450</v>
      </c>
      <c r="E59" s="162"/>
      <c r="F59" s="163">
        <f>SUMIF($D$8:$D$56,"=I",F8:F56)</f>
        <v>0</v>
      </c>
      <c r="G59" s="185">
        <f>SUMIF($D$8:$D$56,"=I",G8:G56)</f>
        <v>0</v>
      </c>
      <c r="H59" s="163">
        <f>SUMIF($D$8:$D$56,"=I",H8:H56)</f>
        <v>0</v>
      </c>
    </row>
    <row r="60" spans="1:8" ht="12.75" customHeight="1">
      <c r="A60" s="103"/>
      <c r="B60" s="253"/>
      <c r="C60" s="1800"/>
      <c r="D60" s="69" t="s">
        <v>100</v>
      </c>
      <c r="E60" s="63"/>
      <c r="F60" s="64">
        <f>SUMIF($D$8:$D$56,"=II",F8:F56)</f>
        <v>0</v>
      </c>
      <c r="G60" s="101">
        <f>SUMIF($D$8:$D$56,"=II",G8:G56)</f>
        <v>0</v>
      </c>
      <c r="H60" s="64">
        <f>SUMIF($D$8:$D$56,"=II",H8:H56)</f>
        <v>0</v>
      </c>
    </row>
    <row r="61" spans="1:8" ht="12.75">
      <c r="A61" s="103"/>
      <c r="B61" s="253"/>
      <c r="C61" s="1800"/>
      <c r="D61" s="68" t="s">
        <v>102</v>
      </c>
      <c r="E61" s="63"/>
      <c r="F61" s="101">
        <f>SUMIF($D$8:$D$56,"=III",F8:F56)</f>
        <v>20.5</v>
      </c>
      <c r="G61" s="101">
        <f>SUMIF($D$8:$D$56,"=III",G8:G56)</f>
        <v>20.5</v>
      </c>
      <c r="H61" s="64">
        <f>SUMIF($D$8:$D$56,"=III",H8:H56)</f>
        <v>0</v>
      </c>
    </row>
    <row r="62" spans="1:8" ht="12.75">
      <c r="A62" s="103"/>
      <c r="B62" s="253"/>
      <c r="C62" s="1800"/>
      <c r="D62" s="70" t="s">
        <v>27</v>
      </c>
      <c r="E62" s="67"/>
      <c r="F62" s="101">
        <f>SUMIF($D$8:$D$56,"=IV",F8:F56)</f>
        <v>199.397</v>
      </c>
      <c r="G62" s="101">
        <f>SUMIF($D$8:$D$56,"=IV",G8:G56)</f>
        <v>43.12</v>
      </c>
      <c r="H62" s="101">
        <f>SUMIF($D$8:$D$56,"=IV",H8:H56)</f>
        <v>156.277</v>
      </c>
    </row>
    <row r="63" spans="1:8" ht="12.75">
      <c r="A63" s="214"/>
      <c r="B63" s="254"/>
      <c r="C63" s="1150"/>
      <c r="D63" s="70" t="s">
        <v>49</v>
      </c>
      <c r="E63" s="190"/>
      <c r="F63" s="101">
        <f>SUMIF($D$8:$D$56,"=V",F8:F56)</f>
        <v>0</v>
      </c>
      <c r="G63" s="101">
        <f>SUMIF($D$8:$D$56,"=V",G8:G56)</f>
        <v>0</v>
      </c>
      <c r="H63" s="101">
        <f>SUMIF($D$8:$D$56,"=V",H8:H56)</f>
        <v>0</v>
      </c>
    </row>
    <row r="64" spans="3:5" ht="12.75">
      <c r="C64" s="6"/>
      <c r="D64" s="6"/>
      <c r="E64" s="4"/>
    </row>
    <row r="65" spans="3:5" ht="12.75">
      <c r="C65" s="8"/>
      <c r="D65" s="8"/>
      <c r="E65" s="4"/>
    </row>
    <row r="66" spans="3:5" ht="12.75">
      <c r="C66" s="7"/>
      <c r="D66" s="7"/>
      <c r="E66" s="5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9" ht="12.75">
      <c r="C71" s="7"/>
      <c r="D71" s="7"/>
      <c r="I71" s="31"/>
    </row>
    <row r="72" spans="3:9" ht="12.75">
      <c r="C72" s="7"/>
      <c r="D72" s="7"/>
      <c r="I72" s="31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</sheetData>
  <sheetProtection/>
  <mergeCells count="202">
    <mergeCell ref="H45:H46"/>
    <mergeCell ref="H43:H44"/>
    <mergeCell ref="H31:H32"/>
    <mergeCell ref="H33:H34"/>
    <mergeCell ref="H35:H36"/>
    <mergeCell ref="A49:A50"/>
    <mergeCell ref="F57:F58"/>
    <mergeCell ref="H57:H58"/>
    <mergeCell ref="B49:B50"/>
    <mergeCell ref="C49:C50"/>
    <mergeCell ref="E51:E52"/>
    <mergeCell ref="F51:F52"/>
    <mergeCell ref="D51:D52"/>
    <mergeCell ref="G51:G52"/>
    <mergeCell ref="H49:H50"/>
    <mergeCell ref="H51:H52"/>
    <mergeCell ref="F47:F48"/>
    <mergeCell ref="G47:G48"/>
    <mergeCell ref="D47:D48"/>
    <mergeCell ref="G49:G50"/>
    <mergeCell ref="F49:F50"/>
    <mergeCell ref="D49:D50"/>
    <mergeCell ref="E47:E48"/>
    <mergeCell ref="E49:E50"/>
    <mergeCell ref="C59:C63"/>
    <mergeCell ref="C51:C52"/>
    <mergeCell ref="A41:A42"/>
    <mergeCell ref="F43:F44"/>
    <mergeCell ref="F45:F46"/>
    <mergeCell ref="A43:A44"/>
    <mergeCell ref="C43:C44"/>
    <mergeCell ref="D43:D44"/>
    <mergeCell ref="D41:D42"/>
    <mergeCell ref="E45:E46"/>
    <mergeCell ref="A51:A52"/>
    <mergeCell ref="A57:A58"/>
    <mergeCell ref="B45:B46"/>
    <mergeCell ref="D45:D46"/>
    <mergeCell ref="B47:B48"/>
    <mergeCell ref="C47:C48"/>
    <mergeCell ref="B51:B52"/>
    <mergeCell ref="A45:A46"/>
    <mergeCell ref="C45:C46"/>
    <mergeCell ref="A47:A48"/>
    <mergeCell ref="G57:G58"/>
    <mergeCell ref="C57:C58"/>
    <mergeCell ref="D57:D58"/>
    <mergeCell ref="E57:E58"/>
    <mergeCell ref="G37:G38"/>
    <mergeCell ref="E41:E42"/>
    <mergeCell ref="H41:H42"/>
    <mergeCell ref="G39:G40"/>
    <mergeCell ref="E43:E44"/>
    <mergeCell ref="H39:H40"/>
    <mergeCell ref="H47:H48"/>
    <mergeCell ref="A39:A40"/>
    <mergeCell ref="B39:B40"/>
    <mergeCell ref="C39:C40"/>
    <mergeCell ref="G45:G46"/>
    <mergeCell ref="G43:G44"/>
    <mergeCell ref="G41:G42"/>
    <mergeCell ref="F41:F42"/>
    <mergeCell ref="B43:B44"/>
    <mergeCell ref="B41:B42"/>
    <mergeCell ref="C41:C42"/>
    <mergeCell ref="F31:F32"/>
    <mergeCell ref="E37:E38"/>
    <mergeCell ref="B31:B32"/>
    <mergeCell ref="C31:C32"/>
    <mergeCell ref="C37:C38"/>
    <mergeCell ref="B37:B38"/>
    <mergeCell ref="D31:D32"/>
    <mergeCell ref="A35:A36"/>
    <mergeCell ref="B35:B36"/>
    <mergeCell ref="C35:C36"/>
    <mergeCell ref="D35:D36"/>
    <mergeCell ref="A33:A34"/>
    <mergeCell ref="A31:A32"/>
    <mergeCell ref="B33:B34"/>
    <mergeCell ref="C33:C34"/>
    <mergeCell ref="H12:H13"/>
    <mergeCell ref="H10:H11"/>
    <mergeCell ref="D39:D40"/>
    <mergeCell ref="E17:E18"/>
    <mergeCell ref="F17:F18"/>
    <mergeCell ref="E10:E11"/>
    <mergeCell ref="F10:F11"/>
    <mergeCell ref="E12:E13"/>
    <mergeCell ref="F12:F13"/>
    <mergeCell ref="E31:E32"/>
    <mergeCell ref="I6:I7"/>
    <mergeCell ref="L5:N5"/>
    <mergeCell ref="M6:N6"/>
    <mergeCell ref="A1:N1"/>
    <mergeCell ref="A2:N2"/>
    <mergeCell ref="A3:N3"/>
    <mergeCell ref="A5:A7"/>
    <mergeCell ref="B5:B7"/>
    <mergeCell ref="C5:C7"/>
    <mergeCell ref="D5:D7"/>
    <mergeCell ref="I5:K5"/>
    <mergeCell ref="G5:H5"/>
    <mergeCell ref="J6:K6"/>
    <mergeCell ref="H8:H9"/>
    <mergeCell ref="L6:L7"/>
    <mergeCell ref="H6:H7"/>
    <mergeCell ref="C12:C13"/>
    <mergeCell ref="D12:D13"/>
    <mergeCell ref="E5:E7"/>
    <mergeCell ref="C8:C9"/>
    <mergeCell ref="D8:D9"/>
    <mergeCell ref="E8:E9"/>
    <mergeCell ref="G12:G13"/>
    <mergeCell ref="F8:F9"/>
    <mergeCell ref="F5:F7"/>
    <mergeCell ref="G6:G7"/>
    <mergeCell ref="A15:A16"/>
    <mergeCell ref="B15:B16"/>
    <mergeCell ref="C15:C16"/>
    <mergeCell ref="D15:D16"/>
    <mergeCell ref="G8:G9"/>
    <mergeCell ref="G15:G16"/>
    <mergeCell ref="G10:G11"/>
    <mergeCell ref="A8:A9"/>
    <mergeCell ref="B8:B9"/>
    <mergeCell ref="A10:A11"/>
    <mergeCell ref="B10:B11"/>
    <mergeCell ref="A12:A14"/>
    <mergeCell ref="B12:B14"/>
    <mergeCell ref="A17:A18"/>
    <mergeCell ref="B17:B18"/>
    <mergeCell ref="A19:A20"/>
    <mergeCell ref="B19:B20"/>
    <mergeCell ref="C10:C11"/>
    <mergeCell ref="D10:D11"/>
    <mergeCell ref="C19:C20"/>
    <mergeCell ref="D19:D20"/>
    <mergeCell ref="C17:C18"/>
    <mergeCell ref="D17:D18"/>
    <mergeCell ref="E19:E20"/>
    <mergeCell ref="F19:F20"/>
    <mergeCell ref="H19:H20"/>
    <mergeCell ref="E21:E22"/>
    <mergeCell ref="F21:F22"/>
    <mergeCell ref="E15:E16"/>
    <mergeCell ref="F15:F16"/>
    <mergeCell ref="H15:H16"/>
    <mergeCell ref="A21:A22"/>
    <mergeCell ref="B21:B22"/>
    <mergeCell ref="G17:G18"/>
    <mergeCell ref="H17:H18"/>
    <mergeCell ref="G23:G24"/>
    <mergeCell ref="G19:G20"/>
    <mergeCell ref="H23:H24"/>
    <mergeCell ref="G21:G22"/>
    <mergeCell ref="A23:A24"/>
    <mergeCell ref="B23:B24"/>
    <mergeCell ref="C23:C24"/>
    <mergeCell ref="D23:D24"/>
    <mergeCell ref="C21:C22"/>
    <mergeCell ref="D21:D22"/>
    <mergeCell ref="G25:G26"/>
    <mergeCell ref="H25:H26"/>
    <mergeCell ref="F25:F26"/>
    <mergeCell ref="E23:E24"/>
    <mergeCell ref="F23:F24"/>
    <mergeCell ref="H21:H22"/>
    <mergeCell ref="A27:A28"/>
    <mergeCell ref="B27:B28"/>
    <mergeCell ref="C27:C28"/>
    <mergeCell ref="E25:E26"/>
    <mergeCell ref="D27:D28"/>
    <mergeCell ref="A25:A26"/>
    <mergeCell ref="B25:B26"/>
    <mergeCell ref="C25:C26"/>
    <mergeCell ref="D25:D26"/>
    <mergeCell ref="H27:H28"/>
    <mergeCell ref="B29:B30"/>
    <mergeCell ref="C29:C30"/>
    <mergeCell ref="D29:D30"/>
    <mergeCell ref="E27:E28"/>
    <mergeCell ref="F27:F28"/>
    <mergeCell ref="G27:G28"/>
    <mergeCell ref="E29:E30"/>
    <mergeCell ref="G29:G30"/>
    <mergeCell ref="F29:F30"/>
    <mergeCell ref="A29:A30"/>
    <mergeCell ref="H37:H38"/>
    <mergeCell ref="D37:D38"/>
    <mergeCell ref="D33:D34"/>
    <mergeCell ref="A37:A38"/>
    <mergeCell ref="G31:G32"/>
    <mergeCell ref="H29:H30"/>
    <mergeCell ref="F35:F36"/>
    <mergeCell ref="G35:G36"/>
    <mergeCell ref="F37:F38"/>
    <mergeCell ref="G33:G34"/>
    <mergeCell ref="F39:F40"/>
    <mergeCell ref="F33:F34"/>
    <mergeCell ref="E35:E36"/>
    <mergeCell ref="E33:E34"/>
    <mergeCell ref="E39:E40"/>
  </mergeCells>
  <printOptions/>
  <pageMargins left="0.5905511811023623" right="0.35433070866141736" top="0.984251968503937" bottom="0.5118110236220472" header="0.5118110236220472" footer="0.5118110236220472"/>
  <pageSetup firstPageNumber="33" useFirstPageNumber="1" fitToHeight="1" fitToWidth="1" horizontalDpi="300" verticalDpi="300" orientation="landscape" paperSize="9" scale="90" r:id="rId1"/>
  <headerFooter alignWithMargins="0">
    <oddFooter>&amp;CСтраница &amp;P</oddFooter>
  </headerFooter>
  <rowBreaks count="1" manualBreakCount="1">
    <brk id="46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1"/>
  <sheetViews>
    <sheetView view="pageBreakPreview" zoomScaleSheetLayoutView="100" zoomScalePageLayoutView="0" workbookViewId="0" topLeftCell="A1">
      <selection activeCell="O1" sqref="O1:Y16384"/>
    </sheetView>
  </sheetViews>
  <sheetFormatPr defaultColWidth="9.00390625" defaultRowHeight="12.75"/>
  <cols>
    <col min="1" max="1" width="4.25390625" style="0" customWidth="1"/>
    <col min="2" max="2" width="13.00390625" style="53" customWidth="1"/>
    <col min="3" max="3" width="36.375" style="0" customWidth="1"/>
    <col min="4" max="4" width="9.25390625" style="0" customWidth="1"/>
    <col min="5" max="5" width="8.25390625" style="0" customWidth="1"/>
    <col min="7" max="7" width="7.125" style="0" customWidth="1"/>
    <col min="8" max="8" width="7.625" style="0" customWidth="1"/>
    <col min="9" max="9" width="5.375" style="0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28.5" customHeight="1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41.25" customHeight="1">
      <c r="A2" s="1809" t="s">
        <v>1521</v>
      </c>
      <c r="B2" s="1810"/>
      <c r="C2" s="1810"/>
      <c r="D2" s="1810"/>
      <c r="E2" s="1810"/>
      <c r="F2" s="1810"/>
      <c r="G2" s="1810"/>
      <c r="H2" s="1810"/>
      <c r="I2" s="1810"/>
      <c r="J2" s="1810"/>
      <c r="K2" s="1810"/>
      <c r="L2" s="1810"/>
      <c r="M2" s="1810"/>
      <c r="N2" s="1810"/>
    </row>
    <row r="3" ht="18" customHeight="1" thickBot="1"/>
    <row r="4" spans="1:14" s="1" customFormat="1" ht="12.75" customHeight="1" thickBot="1">
      <c r="A4" s="1208" t="s">
        <v>9</v>
      </c>
      <c r="B4" s="1203" t="s">
        <v>735</v>
      </c>
      <c r="C4" s="1209" t="s">
        <v>455</v>
      </c>
      <c r="D4" s="1203" t="s">
        <v>231</v>
      </c>
      <c r="E4" s="1211" t="s">
        <v>622</v>
      </c>
      <c r="F4" s="1203" t="s">
        <v>623</v>
      </c>
      <c r="G4" s="1209" t="s">
        <v>4</v>
      </c>
      <c r="H4" s="1209"/>
      <c r="I4" s="1208" t="s">
        <v>458</v>
      </c>
      <c r="J4" s="1209"/>
      <c r="K4" s="1210"/>
      <c r="L4" s="1216" t="s">
        <v>19</v>
      </c>
      <c r="M4" s="1217"/>
      <c r="N4" s="1218"/>
    </row>
    <row r="5" spans="1:14" s="1" customFormat="1" ht="12.75" thickBot="1">
      <c r="A5" s="1226"/>
      <c r="B5" s="1204"/>
      <c r="C5" s="1214"/>
      <c r="D5" s="1207"/>
      <c r="E5" s="1212"/>
      <c r="F5" s="1204"/>
      <c r="G5" s="1203" t="s">
        <v>456</v>
      </c>
      <c r="H5" s="1224" t="s">
        <v>457</v>
      </c>
      <c r="I5" s="1222" t="s">
        <v>5</v>
      </c>
      <c r="J5" s="1220" t="s">
        <v>4</v>
      </c>
      <c r="K5" s="1221"/>
      <c r="L5" s="1222" t="s">
        <v>5</v>
      </c>
      <c r="M5" s="1219" t="s">
        <v>4</v>
      </c>
      <c r="N5" s="1218"/>
    </row>
    <row r="6" spans="1:14" s="1" customFormat="1" ht="12.75" thickBot="1">
      <c r="A6" s="1226"/>
      <c r="B6" s="1204"/>
      <c r="C6" s="1214"/>
      <c r="D6" s="1207"/>
      <c r="E6" s="1212"/>
      <c r="F6" s="1204"/>
      <c r="G6" s="1207"/>
      <c r="H6" s="1441"/>
      <c r="I6" s="1355"/>
      <c r="J6" s="215" t="s">
        <v>6</v>
      </c>
      <c r="K6" s="95" t="s">
        <v>7</v>
      </c>
      <c r="L6" s="1355"/>
      <c r="M6" s="95" t="s">
        <v>6</v>
      </c>
      <c r="N6" s="95" t="s">
        <v>7</v>
      </c>
    </row>
    <row r="7" spans="1:14" s="1" customFormat="1" ht="12">
      <c r="A7" s="1219">
        <v>1</v>
      </c>
      <c r="B7" s="1217" t="s">
        <v>827</v>
      </c>
      <c r="C7" s="1803" t="s">
        <v>652</v>
      </c>
      <c r="D7" s="1562" t="s">
        <v>102</v>
      </c>
      <c r="E7" s="1562" t="s">
        <v>651</v>
      </c>
      <c r="F7" s="1217">
        <f>G7+H7</f>
        <v>2.333</v>
      </c>
      <c r="G7" s="1555">
        <v>2.333</v>
      </c>
      <c r="H7" s="1568">
        <v>0</v>
      </c>
      <c r="I7" s="91">
        <f>J7+K7</f>
        <v>0</v>
      </c>
      <c r="J7" s="184">
        <v>0</v>
      </c>
      <c r="K7" s="294">
        <v>0</v>
      </c>
      <c r="L7" s="91">
        <f>M7+N7</f>
        <v>5</v>
      </c>
      <c r="M7" s="184">
        <v>4</v>
      </c>
      <c r="N7" s="184">
        <v>1</v>
      </c>
    </row>
    <row r="8" spans="1:14" s="1" customFormat="1" ht="12.75" thickBot="1">
      <c r="A8" s="1593"/>
      <c r="B8" s="1802"/>
      <c r="C8" s="1804"/>
      <c r="D8" s="1801"/>
      <c r="E8" s="1801"/>
      <c r="F8" s="1802"/>
      <c r="G8" s="1808"/>
      <c r="H8" s="1807"/>
      <c r="I8" s="308">
        <f>J8+K8</f>
        <v>0</v>
      </c>
      <c r="J8" s="314">
        <v>0</v>
      </c>
      <c r="K8" s="317">
        <v>0</v>
      </c>
      <c r="L8" s="319">
        <f>M8+N8</f>
        <v>68</v>
      </c>
      <c r="M8" s="313">
        <v>54</v>
      </c>
      <c r="N8" s="314">
        <v>14</v>
      </c>
    </row>
    <row r="9" spans="1:14" s="1" customFormat="1" ht="12">
      <c r="A9" s="1219">
        <v>2</v>
      </c>
      <c r="B9" s="1217" t="s">
        <v>873</v>
      </c>
      <c r="C9" s="1803" t="s">
        <v>401</v>
      </c>
      <c r="D9" s="1805" t="s">
        <v>49</v>
      </c>
      <c r="E9" s="1805" t="s">
        <v>39</v>
      </c>
      <c r="F9" s="1217">
        <f>G9+H9</f>
        <v>0.8</v>
      </c>
      <c r="G9" s="1568">
        <v>0.8</v>
      </c>
      <c r="H9" s="1568">
        <v>0</v>
      </c>
      <c r="I9" s="91">
        <f>J9+K9</f>
        <v>0</v>
      </c>
      <c r="J9" s="184">
        <v>0</v>
      </c>
      <c r="K9" s="186">
        <v>0</v>
      </c>
      <c r="L9" s="318">
        <f>M9+N9</f>
        <v>2</v>
      </c>
      <c r="M9" s="316">
        <v>1</v>
      </c>
      <c r="N9" s="318">
        <v>1</v>
      </c>
    </row>
    <row r="10" spans="1:14" s="1" customFormat="1" ht="12.75" thickBot="1">
      <c r="A10" s="1593"/>
      <c r="B10" s="1802"/>
      <c r="C10" s="1804"/>
      <c r="D10" s="1806"/>
      <c r="E10" s="1806"/>
      <c r="F10" s="1802"/>
      <c r="G10" s="1807"/>
      <c r="H10" s="1807"/>
      <c r="I10" s="308">
        <f>J10+K10</f>
        <v>0</v>
      </c>
      <c r="J10" s="314">
        <v>0</v>
      </c>
      <c r="K10" s="301">
        <v>0</v>
      </c>
      <c r="L10" s="319">
        <f>M10+N10</f>
        <v>17</v>
      </c>
      <c r="M10" s="313">
        <v>10</v>
      </c>
      <c r="N10" s="319">
        <v>7</v>
      </c>
    </row>
    <row r="11" spans="1:14" s="1" customFormat="1" ht="12">
      <c r="A11" s="1219">
        <v>3</v>
      </c>
      <c r="B11" s="1217" t="s">
        <v>1057</v>
      </c>
      <c r="C11" s="1803" t="s">
        <v>400</v>
      </c>
      <c r="D11" s="1805" t="s">
        <v>49</v>
      </c>
      <c r="E11" s="1562" t="s">
        <v>250</v>
      </c>
      <c r="F11" s="1217">
        <f>G11+H11</f>
        <v>0.9</v>
      </c>
      <c r="G11" s="1568">
        <v>0.9</v>
      </c>
      <c r="H11" s="1568">
        <v>0</v>
      </c>
      <c r="I11" s="91">
        <f aca="true" t="shared" si="0" ref="I11:I30">J11+K11</f>
        <v>0</v>
      </c>
      <c r="J11" s="186">
        <v>0</v>
      </c>
      <c r="K11" s="294">
        <v>0</v>
      </c>
      <c r="L11" s="318">
        <f aca="true" t="shared" si="1" ref="L11:L30">M11+N11</f>
        <v>0</v>
      </c>
      <c r="M11" s="315">
        <v>0</v>
      </c>
      <c r="N11" s="318">
        <v>0</v>
      </c>
    </row>
    <row r="12" spans="1:14" s="1" customFormat="1" ht="12.75" thickBot="1">
      <c r="A12" s="1593"/>
      <c r="B12" s="1802"/>
      <c r="C12" s="1804"/>
      <c r="D12" s="1806"/>
      <c r="E12" s="1801"/>
      <c r="F12" s="1802"/>
      <c r="G12" s="1807"/>
      <c r="H12" s="1807"/>
      <c r="I12" s="308">
        <f t="shared" si="0"/>
        <v>0</v>
      </c>
      <c r="J12" s="301">
        <v>0</v>
      </c>
      <c r="K12" s="317">
        <v>0</v>
      </c>
      <c r="L12" s="319">
        <f t="shared" si="1"/>
        <v>0</v>
      </c>
      <c r="M12" s="322">
        <v>0</v>
      </c>
      <c r="N12" s="319">
        <v>0</v>
      </c>
    </row>
    <row r="13" spans="1:14" s="1" customFormat="1" ht="12">
      <c r="A13" s="1219">
        <v>4</v>
      </c>
      <c r="B13" s="1217" t="s">
        <v>1058</v>
      </c>
      <c r="C13" s="1803" t="s">
        <v>615</v>
      </c>
      <c r="D13" s="1805" t="s">
        <v>27</v>
      </c>
      <c r="E13" s="1562" t="s">
        <v>1267</v>
      </c>
      <c r="F13" s="1555">
        <f>G13+H13</f>
        <v>4.12</v>
      </c>
      <c r="G13" s="1555">
        <v>4.12</v>
      </c>
      <c r="H13" s="1568">
        <v>0</v>
      </c>
      <c r="I13" s="91">
        <f t="shared" si="0"/>
        <v>1</v>
      </c>
      <c r="J13" s="184">
        <v>1</v>
      </c>
      <c r="K13" s="294">
        <v>0</v>
      </c>
      <c r="L13" s="91">
        <f t="shared" si="1"/>
        <v>1</v>
      </c>
      <c r="M13" s="184">
        <v>1</v>
      </c>
      <c r="N13" s="91">
        <v>0</v>
      </c>
    </row>
    <row r="14" spans="1:14" s="1" customFormat="1" ht="12.75" thickBot="1">
      <c r="A14" s="1593"/>
      <c r="B14" s="1802"/>
      <c r="C14" s="1804"/>
      <c r="D14" s="1806"/>
      <c r="E14" s="1802"/>
      <c r="F14" s="1808"/>
      <c r="G14" s="1808"/>
      <c r="H14" s="1807"/>
      <c r="I14" s="312">
        <f t="shared" si="0"/>
        <v>12.8</v>
      </c>
      <c r="J14" s="320">
        <v>12.8</v>
      </c>
      <c r="K14" s="317">
        <v>0</v>
      </c>
      <c r="L14" s="319">
        <f t="shared" si="1"/>
        <v>23</v>
      </c>
      <c r="M14" s="313">
        <v>23</v>
      </c>
      <c r="N14" s="308">
        <v>0</v>
      </c>
    </row>
    <row r="15" spans="1:14" s="1" customFormat="1" ht="12">
      <c r="A15" s="1219">
        <v>5</v>
      </c>
      <c r="B15" s="1217" t="s">
        <v>1059</v>
      </c>
      <c r="C15" s="1803" t="s">
        <v>402</v>
      </c>
      <c r="D15" s="1805" t="s">
        <v>49</v>
      </c>
      <c r="E15" s="1805" t="s">
        <v>250</v>
      </c>
      <c r="F15" s="1217">
        <f>G15+H15</f>
        <v>0.9</v>
      </c>
      <c r="G15" s="1568">
        <v>0</v>
      </c>
      <c r="H15" s="1568">
        <v>0.9</v>
      </c>
      <c r="I15" s="91">
        <f t="shared" si="0"/>
        <v>0</v>
      </c>
      <c r="J15" s="186">
        <v>0</v>
      </c>
      <c r="K15" s="294">
        <v>0</v>
      </c>
      <c r="L15" s="318">
        <f t="shared" si="1"/>
        <v>0</v>
      </c>
      <c r="M15" s="315">
        <v>0</v>
      </c>
      <c r="N15" s="318">
        <v>0</v>
      </c>
    </row>
    <row r="16" spans="1:14" s="1" customFormat="1" ht="12.75" thickBot="1">
      <c r="A16" s="1593"/>
      <c r="B16" s="1802"/>
      <c r="C16" s="1804"/>
      <c r="D16" s="1806"/>
      <c r="E16" s="1806"/>
      <c r="F16" s="1802"/>
      <c r="G16" s="1807"/>
      <c r="H16" s="1807"/>
      <c r="I16" s="308">
        <f t="shared" si="0"/>
        <v>0</v>
      </c>
      <c r="J16" s="301">
        <v>0</v>
      </c>
      <c r="K16" s="317">
        <v>0</v>
      </c>
      <c r="L16" s="319">
        <f t="shared" si="1"/>
        <v>0</v>
      </c>
      <c r="M16" s="322">
        <v>0</v>
      </c>
      <c r="N16" s="319">
        <v>0</v>
      </c>
    </row>
    <row r="17" spans="1:14" s="1" customFormat="1" ht="12">
      <c r="A17" s="1219">
        <v>6</v>
      </c>
      <c r="B17" s="1217" t="s">
        <v>1060</v>
      </c>
      <c r="C17" s="1803" t="s">
        <v>403</v>
      </c>
      <c r="D17" s="1805" t="s">
        <v>49</v>
      </c>
      <c r="E17" s="1217" t="s">
        <v>339</v>
      </c>
      <c r="F17" s="1217">
        <f>G17+H17</f>
        <v>0.6</v>
      </c>
      <c r="G17" s="1568">
        <v>0.6</v>
      </c>
      <c r="H17" s="1568">
        <v>0</v>
      </c>
      <c r="I17" s="91">
        <f t="shared" si="0"/>
        <v>0</v>
      </c>
      <c r="J17" s="184">
        <v>0</v>
      </c>
      <c r="K17" s="294">
        <v>0</v>
      </c>
      <c r="L17" s="91">
        <f t="shared" si="1"/>
        <v>1</v>
      </c>
      <c r="M17" s="184">
        <v>1</v>
      </c>
      <c r="N17" s="91">
        <v>0</v>
      </c>
    </row>
    <row r="18" spans="1:14" s="1" customFormat="1" ht="12.75" thickBot="1">
      <c r="A18" s="1593"/>
      <c r="B18" s="1802"/>
      <c r="C18" s="1804"/>
      <c r="D18" s="1806"/>
      <c r="E18" s="1802"/>
      <c r="F18" s="1802"/>
      <c r="G18" s="1807"/>
      <c r="H18" s="1807"/>
      <c r="I18" s="308">
        <f t="shared" si="0"/>
        <v>0</v>
      </c>
      <c r="J18" s="314">
        <v>0</v>
      </c>
      <c r="K18" s="317">
        <v>0</v>
      </c>
      <c r="L18" s="308">
        <f t="shared" si="1"/>
        <v>15</v>
      </c>
      <c r="M18" s="314">
        <v>15</v>
      </c>
      <c r="N18" s="308">
        <v>0</v>
      </c>
    </row>
    <row r="19" spans="1:14" s="1" customFormat="1" ht="12">
      <c r="A19" s="1219">
        <v>7</v>
      </c>
      <c r="B19" s="1217" t="s">
        <v>1061</v>
      </c>
      <c r="C19" s="1803" t="s">
        <v>442</v>
      </c>
      <c r="D19" s="1805" t="s">
        <v>49</v>
      </c>
      <c r="E19" s="1217" t="s">
        <v>123</v>
      </c>
      <c r="F19" s="1217">
        <f>G19+H19</f>
        <v>2</v>
      </c>
      <c r="G19" s="1568">
        <v>2</v>
      </c>
      <c r="H19" s="1568">
        <v>0</v>
      </c>
      <c r="I19" s="91">
        <f t="shared" si="0"/>
        <v>0</v>
      </c>
      <c r="J19" s="186">
        <v>0</v>
      </c>
      <c r="K19" s="294">
        <v>0</v>
      </c>
      <c r="L19" s="91">
        <f t="shared" si="1"/>
        <v>2</v>
      </c>
      <c r="M19" s="186">
        <v>2</v>
      </c>
      <c r="N19" s="91">
        <v>0</v>
      </c>
    </row>
    <row r="20" spans="1:14" s="1" customFormat="1" ht="12.75" thickBot="1">
      <c r="A20" s="1593"/>
      <c r="B20" s="1802"/>
      <c r="C20" s="1804"/>
      <c r="D20" s="1806"/>
      <c r="E20" s="1802"/>
      <c r="F20" s="1802"/>
      <c r="G20" s="1807"/>
      <c r="H20" s="1807"/>
      <c r="I20" s="308">
        <f t="shared" si="0"/>
        <v>0</v>
      </c>
      <c r="J20" s="301">
        <v>0</v>
      </c>
      <c r="K20" s="317">
        <v>0</v>
      </c>
      <c r="L20" s="308">
        <f t="shared" si="1"/>
        <v>32</v>
      </c>
      <c r="M20" s="301">
        <v>32</v>
      </c>
      <c r="N20" s="308">
        <v>0</v>
      </c>
    </row>
    <row r="21" spans="1:14" s="1" customFormat="1" ht="12">
      <c r="A21" s="1219">
        <v>8</v>
      </c>
      <c r="B21" s="1217" t="s">
        <v>1062</v>
      </c>
      <c r="C21" s="1803" t="s">
        <v>399</v>
      </c>
      <c r="D21" s="1805" t="s">
        <v>27</v>
      </c>
      <c r="E21" s="1560" t="s">
        <v>1266</v>
      </c>
      <c r="F21" s="1217">
        <f>G21+H21</f>
        <v>1.883</v>
      </c>
      <c r="G21" s="1555">
        <v>0.9</v>
      </c>
      <c r="H21" s="1555">
        <v>0.983</v>
      </c>
      <c r="I21" s="91">
        <f>J21+K21</f>
        <v>1</v>
      </c>
      <c r="J21" s="184">
        <v>1</v>
      </c>
      <c r="K21" s="186">
        <v>0</v>
      </c>
      <c r="L21" s="318">
        <f>M21+N21</f>
        <v>4</v>
      </c>
      <c r="M21" s="316">
        <v>0</v>
      </c>
      <c r="N21" s="318">
        <v>4</v>
      </c>
    </row>
    <row r="22" spans="1:14" s="1" customFormat="1" ht="12.75" thickBot="1">
      <c r="A22" s="1593"/>
      <c r="B22" s="1802"/>
      <c r="C22" s="1804"/>
      <c r="D22" s="1806"/>
      <c r="E22" s="1811"/>
      <c r="F22" s="1802"/>
      <c r="G22" s="1808"/>
      <c r="H22" s="1808"/>
      <c r="I22" s="312">
        <f>J22+K22</f>
        <v>12</v>
      </c>
      <c r="J22" s="320">
        <v>12</v>
      </c>
      <c r="K22" s="301">
        <v>0</v>
      </c>
      <c r="L22" s="319">
        <f>M22+N22</f>
        <v>48</v>
      </c>
      <c r="M22" s="313">
        <v>0</v>
      </c>
      <c r="N22" s="319">
        <v>48</v>
      </c>
    </row>
    <row r="23" spans="1:14" s="1" customFormat="1" ht="12">
      <c r="A23" s="1219">
        <v>9</v>
      </c>
      <c r="B23" s="1217" t="s">
        <v>1063</v>
      </c>
      <c r="C23" s="1803" t="s">
        <v>404</v>
      </c>
      <c r="D23" s="1805" t="s">
        <v>49</v>
      </c>
      <c r="E23" s="1217" t="s">
        <v>109</v>
      </c>
      <c r="F23" s="1217">
        <f>G23+H23</f>
        <v>6</v>
      </c>
      <c r="G23" s="1568">
        <v>0</v>
      </c>
      <c r="H23" s="1568">
        <v>6</v>
      </c>
      <c r="I23" s="91">
        <f t="shared" si="0"/>
        <v>1</v>
      </c>
      <c r="J23" s="184">
        <v>1</v>
      </c>
      <c r="K23" s="294">
        <v>0</v>
      </c>
      <c r="L23" s="91">
        <f t="shared" si="1"/>
        <v>1</v>
      </c>
      <c r="M23" s="184">
        <v>1</v>
      </c>
      <c r="N23" s="91">
        <v>0</v>
      </c>
    </row>
    <row r="24" spans="1:14" s="1" customFormat="1" ht="12.75" thickBot="1">
      <c r="A24" s="1593"/>
      <c r="B24" s="1802"/>
      <c r="C24" s="1804"/>
      <c r="D24" s="1806"/>
      <c r="E24" s="1802"/>
      <c r="F24" s="1802"/>
      <c r="G24" s="1807"/>
      <c r="H24" s="1807"/>
      <c r="I24" s="312">
        <f t="shared" si="0"/>
        <v>18.75</v>
      </c>
      <c r="J24" s="314">
        <v>18.75</v>
      </c>
      <c r="K24" s="317">
        <v>0</v>
      </c>
      <c r="L24" s="308">
        <f t="shared" si="1"/>
        <v>10</v>
      </c>
      <c r="M24" s="314">
        <v>10</v>
      </c>
      <c r="N24" s="308">
        <v>0</v>
      </c>
    </row>
    <row r="25" spans="1:14" s="1" customFormat="1" ht="12">
      <c r="A25" s="1219">
        <v>10</v>
      </c>
      <c r="B25" s="1217" t="s">
        <v>1064</v>
      </c>
      <c r="C25" s="1812" t="s">
        <v>405</v>
      </c>
      <c r="D25" s="1805" t="s">
        <v>49</v>
      </c>
      <c r="E25" s="1217" t="s">
        <v>184</v>
      </c>
      <c r="F25" s="1217">
        <f>G25+H25</f>
        <v>1.8</v>
      </c>
      <c r="G25" s="1568">
        <v>0</v>
      </c>
      <c r="H25" s="1568">
        <v>1.8</v>
      </c>
      <c r="I25" s="91">
        <f t="shared" si="0"/>
        <v>0</v>
      </c>
      <c r="J25" s="184">
        <v>0</v>
      </c>
      <c r="K25" s="294">
        <v>0</v>
      </c>
      <c r="L25" s="91">
        <f t="shared" si="1"/>
        <v>1</v>
      </c>
      <c r="M25" s="184">
        <v>1</v>
      </c>
      <c r="N25" s="91">
        <v>0</v>
      </c>
    </row>
    <row r="26" spans="1:14" s="1" customFormat="1" ht="12.75" thickBot="1">
      <c r="A26" s="1593"/>
      <c r="B26" s="1802"/>
      <c r="C26" s="1813"/>
      <c r="D26" s="1806"/>
      <c r="E26" s="1802"/>
      <c r="F26" s="1802"/>
      <c r="G26" s="1807"/>
      <c r="H26" s="1807"/>
      <c r="I26" s="308">
        <f t="shared" si="0"/>
        <v>0</v>
      </c>
      <c r="J26" s="314">
        <v>0</v>
      </c>
      <c r="K26" s="317">
        <v>0</v>
      </c>
      <c r="L26" s="308">
        <f t="shared" si="1"/>
        <v>20</v>
      </c>
      <c r="M26" s="314">
        <v>20</v>
      </c>
      <c r="N26" s="308">
        <v>0</v>
      </c>
    </row>
    <row r="27" spans="1:14" s="1" customFormat="1" ht="12">
      <c r="A27" s="1219">
        <v>11</v>
      </c>
      <c r="B27" s="1217" t="s">
        <v>1065</v>
      </c>
      <c r="C27" s="1812" t="s">
        <v>406</v>
      </c>
      <c r="D27" s="1805" t="s">
        <v>27</v>
      </c>
      <c r="E27" s="1217" t="s">
        <v>188</v>
      </c>
      <c r="F27" s="1217">
        <f>G27+H27</f>
        <v>5.3</v>
      </c>
      <c r="G27" s="1568">
        <v>3</v>
      </c>
      <c r="H27" s="1568">
        <v>2.3</v>
      </c>
      <c r="I27" s="91">
        <f t="shared" si="0"/>
        <v>0</v>
      </c>
      <c r="J27" s="184">
        <v>0</v>
      </c>
      <c r="K27" s="294">
        <v>0</v>
      </c>
      <c r="L27" s="318">
        <f t="shared" si="1"/>
        <v>4</v>
      </c>
      <c r="M27" s="316">
        <v>4</v>
      </c>
      <c r="N27" s="318">
        <v>0</v>
      </c>
    </row>
    <row r="28" spans="1:14" s="1" customFormat="1" ht="12.75" thickBot="1">
      <c r="A28" s="1593"/>
      <c r="B28" s="1802"/>
      <c r="C28" s="1813"/>
      <c r="D28" s="1806"/>
      <c r="E28" s="1802"/>
      <c r="F28" s="1802"/>
      <c r="G28" s="1807"/>
      <c r="H28" s="1807"/>
      <c r="I28" s="308">
        <f t="shared" si="0"/>
        <v>0</v>
      </c>
      <c r="J28" s="314">
        <v>0</v>
      </c>
      <c r="K28" s="317">
        <v>0</v>
      </c>
      <c r="L28" s="319">
        <f t="shared" si="1"/>
        <v>98</v>
      </c>
      <c r="M28" s="313">
        <v>98</v>
      </c>
      <c r="N28" s="319">
        <v>0</v>
      </c>
    </row>
    <row r="29" spans="1:14" s="1" customFormat="1" ht="12">
      <c r="A29" s="1219">
        <v>12</v>
      </c>
      <c r="B29" s="1217" t="s">
        <v>1066</v>
      </c>
      <c r="C29" s="1803" t="s">
        <v>407</v>
      </c>
      <c r="D29" s="1805" t="s">
        <v>49</v>
      </c>
      <c r="E29" s="1217" t="s">
        <v>11</v>
      </c>
      <c r="F29" s="1217">
        <f>G29+H29</f>
        <v>3.2</v>
      </c>
      <c r="G29" s="1568">
        <v>0</v>
      </c>
      <c r="H29" s="1568">
        <v>3.2</v>
      </c>
      <c r="I29" s="91">
        <f t="shared" si="0"/>
        <v>0</v>
      </c>
      <c r="J29" s="184">
        <v>0</v>
      </c>
      <c r="K29" s="294">
        <v>0</v>
      </c>
      <c r="L29" s="91">
        <f t="shared" si="1"/>
        <v>1</v>
      </c>
      <c r="M29" s="184">
        <v>0</v>
      </c>
      <c r="N29" s="91">
        <v>1</v>
      </c>
    </row>
    <row r="30" spans="1:14" s="1" customFormat="1" ht="12.75" thickBot="1">
      <c r="A30" s="1593"/>
      <c r="B30" s="1802"/>
      <c r="C30" s="1804"/>
      <c r="D30" s="1806"/>
      <c r="E30" s="1802"/>
      <c r="F30" s="1802"/>
      <c r="G30" s="1807"/>
      <c r="H30" s="1807"/>
      <c r="I30" s="308">
        <f t="shared" si="0"/>
        <v>0</v>
      </c>
      <c r="J30" s="314">
        <v>0</v>
      </c>
      <c r="K30" s="317">
        <v>0</v>
      </c>
      <c r="L30" s="319">
        <f t="shared" si="1"/>
        <v>9</v>
      </c>
      <c r="M30" s="313">
        <v>0</v>
      </c>
      <c r="N30" s="319">
        <v>9</v>
      </c>
    </row>
    <row r="31" spans="1:14" s="1" customFormat="1" ht="12.75" hidden="1" thickBot="1">
      <c r="A31" s="10">
        <v>14</v>
      </c>
      <c r="B31" s="10"/>
      <c r="C31" s="23"/>
      <c r="D31" s="42"/>
      <c r="E31" s="23"/>
      <c r="F31" s="11">
        <f aca="true" t="shared" si="2" ref="F31:F52">G31+H31</f>
        <v>0</v>
      </c>
      <c r="G31" s="26"/>
      <c r="H31" s="26"/>
      <c r="I31" s="86">
        <f aca="true" t="shared" si="3" ref="I31:I52">J31+K31</f>
        <v>0</v>
      </c>
      <c r="J31" s="58"/>
      <c r="K31" s="58"/>
      <c r="L31" s="58">
        <f aca="true" t="shared" si="4" ref="L31:L52">M31+N31</f>
        <v>0</v>
      </c>
      <c r="M31" s="58"/>
      <c r="N31" s="58"/>
    </row>
    <row r="32" spans="1:14" s="1" customFormat="1" ht="12.75" hidden="1" thickBot="1">
      <c r="A32" s="12"/>
      <c r="B32" s="12"/>
      <c r="C32" s="22"/>
      <c r="D32" s="38"/>
      <c r="E32" s="22"/>
      <c r="F32" s="11">
        <f t="shared" si="2"/>
        <v>0</v>
      </c>
      <c r="G32" s="26"/>
      <c r="H32" s="26"/>
      <c r="I32" s="16">
        <f t="shared" si="3"/>
        <v>0</v>
      </c>
      <c r="J32" s="12"/>
      <c r="K32" s="12"/>
      <c r="L32" s="9">
        <f t="shared" si="4"/>
        <v>0</v>
      </c>
      <c r="M32" s="12"/>
      <c r="N32" s="12"/>
    </row>
    <row r="33" spans="1:14" s="1" customFormat="1" ht="12.75" hidden="1" thickBot="1">
      <c r="A33" s="9">
        <v>15</v>
      </c>
      <c r="B33" s="9"/>
      <c r="C33" s="21"/>
      <c r="D33" s="37"/>
      <c r="E33" s="21"/>
      <c r="F33" s="11">
        <f t="shared" si="2"/>
        <v>0</v>
      </c>
      <c r="G33" s="24"/>
      <c r="H33" s="24"/>
      <c r="I33" s="87">
        <f t="shared" si="3"/>
        <v>0</v>
      </c>
      <c r="J33" s="55"/>
      <c r="K33" s="55"/>
      <c r="L33" s="55">
        <f t="shared" si="4"/>
        <v>0</v>
      </c>
      <c r="M33" s="55"/>
      <c r="N33" s="55"/>
    </row>
    <row r="34" spans="1:14" s="1" customFormat="1" ht="12.75" hidden="1" thickBot="1">
      <c r="A34" s="12"/>
      <c r="B34" s="12"/>
      <c r="C34" s="22"/>
      <c r="D34" s="38"/>
      <c r="E34" s="22"/>
      <c r="F34" s="11">
        <f t="shared" si="2"/>
        <v>0</v>
      </c>
      <c r="G34" s="26"/>
      <c r="H34" s="26"/>
      <c r="I34" s="16">
        <f t="shared" si="3"/>
        <v>0</v>
      </c>
      <c r="J34" s="12"/>
      <c r="K34" s="12"/>
      <c r="L34" s="9">
        <f t="shared" si="4"/>
        <v>0</v>
      </c>
      <c r="M34" s="12"/>
      <c r="N34" s="12"/>
    </row>
    <row r="35" spans="1:14" s="1" customFormat="1" ht="12.75" hidden="1" thickBot="1">
      <c r="A35" s="9">
        <v>16</v>
      </c>
      <c r="B35" s="9"/>
      <c r="C35" s="21"/>
      <c r="D35" s="37"/>
      <c r="E35" s="37"/>
      <c r="F35" s="11">
        <f t="shared" si="2"/>
        <v>0</v>
      </c>
      <c r="G35" s="24"/>
      <c r="H35" s="24"/>
      <c r="I35" s="87">
        <f t="shared" si="3"/>
        <v>0</v>
      </c>
      <c r="J35" s="55"/>
      <c r="K35" s="55"/>
      <c r="L35" s="55">
        <f t="shared" si="4"/>
        <v>0</v>
      </c>
      <c r="M35" s="55"/>
      <c r="N35" s="55"/>
    </row>
    <row r="36" spans="1:14" s="1" customFormat="1" ht="12.75" hidden="1" thickBot="1">
      <c r="A36" s="12"/>
      <c r="B36" s="12"/>
      <c r="C36" s="22"/>
      <c r="D36" s="38"/>
      <c r="E36" s="22"/>
      <c r="F36" s="11">
        <f t="shared" si="2"/>
        <v>0</v>
      </c>
      <c r="G36" s="26"/>
      <c r="H36" s="26"/>
      <c r="I36" s="16">
        <f t="shared" si="3"/>
        <v>0</v>
      </c>
      <c r="J36" s="12"/>
      <c r="K36" s="12"/>
      <c r="L36" s="9">
        <f t="shared" si="4"/>
        <v>0</v>
      </c>
      <c r="M36" s="12"/>
      <c r="N36" s="12"/>
    </row>
    <row r="37" spans="1:14" s="1" customFormat="1" ht="12.75" hidden="1" thickBot="1">
      <c r="A37" s="9">
        <v>17</v>
      </c>
      <c r="B37" s="9"/>
      <c r="C37" s="21"/>
      <c r="D37" s="37"/>
      <c r="E37" s="21"/>
      <c r="F37" s="11">
        <f t="shared" si="2"/>
        <v>0</v>
      </c>
      <c r="G37" s="24"/>
      <c r="H37" s="24"/>
      <c r="I37" s="87">
        <f t="shared" si="3"/>
        <v>0</v>
      </c>
      <c r="J37" s="55"/>
      <c r="K37" s="60"/>
      <c r="L37" s="88">
        <f t="shared" si="4"/>
        <v>0</v>
      </c>
      <c r="M37" s="59"/>
      <c r="N37" s="55"/>
    </row>
    <row r="38" spans="1:14" s="1" customFormat="1" ht="12.75" hidden="1" thickBot="1">
      <c r="A38" s="12"/>
      <c r="B38" s="12"/>
      <c r="C38" s="22"/>
      <c r="D38" s="38"/>
      <c r="E38" s="22"/>
      <c r="F38" s="11">
        <f t="shared" si="2"/>
        <v>0</v>
      </c>
      <c r="G38" s="25"/>
      <c r="H38" s="25"/>
      <c r="I38" s="16">
        <f t="shared" si="3"/>
        <v>0</v>
      </c>
      <c r="J38" s="12"/>
      <c r="K38" s="12"/>
      <c r="L38" s="17">
        <f t="shared" si="4"/>
        <v>0</v>
      </c>
      <c r="M38" s="12"/>
      <c r="N38" s="12"/>
    </row>
    <row r="39" spans="1:14" s="1" customFormat="1" ht="12.75" hidden="1" thickBot="1">
      <c r="A39" s="9">
        <v>18</v>
      </c>
      <c r="B39" s="9"/>
      <c r="C39" s="18"/>
      <c r="D39" s="37"/>
      <c r="E39" s="37"/>
      <c r="F39" s="11">
        <f t="shared" si="2"/>
        <v>0</v>
      </c>
      <c r="G39" s="26"/>
      <c r="H39" s="26"/>
      <c r="I39" s="88">
        <f t="shared" si="3"/>
        <v>0</v>
      </c>
      <c r="J39" s="55"/>
      <c r="K39" s="55"/>
      <c r="L39" s="58">
        <f t="shared" si="4"/>
        <v>0</v>
      </c>
      <c r="M39" s="55"/>
      <c r="N39" s="55"/>
    </row>
    <row r="40" spans="1:14" s="1" customFormat="1" ht="12.75" hidden="1" thickBot="1">
      <c r="A40" s="12"/>
      <c r="B40" s="12"/>
      <c r="C40" s="20"/>
      <c r="D40" s="38"/>
      <c r="E40" s="20"/>
      <c r="F40" s="11">
        <f t="shared" si="2"/>
        <v>0</v>
      </c>
      <c r="G40" s="25"/>
      <c r="H40" s="25"/>
      <c r="I40" s="17">
        <f t="shared" si="3"/>
        <v>0</v>
      </c>
      <c r="J40" s="12"/>
      <c r="K40" s="12"/>
      <c r="L40" s="17">
        <f t="shared" si="4"/>
        <v>0</v>
      </c>
      <c r="M40" s="12"/>
      <c r="N40" s="12"/>
    </row>
    <row r="41" spans="1:14" s="1" customFormat="1" ht="12.75" hidden="1" thickBot="1">
      <c r="A41" s="9">
        <v>19</v>
      </c>
      <c r="B41" s="9"/>
      <c r="C41" s="18"/>
      <c r="D41" s="37"/>
      <c r="E41" s="18"/>
      <c r="F41" s="11">
        <f t="shared" si="2"/>
        <v>0</v>
      </c>
      <c r="G41" s="24"/>
      <c r="H41" s="24"/>
      <c r="I41" s="88">
        <f t="shared" si="3"/>
        <v>0</v>
      </c>
      <c r="J41" s="55"/>
      <c r="K41" s="55"/>
      <c r="L41" s="58">
        <f t="shared" si="4"/>
        <v>0</v>
      </c>
      <c r="M41" s="55"/>
      <c r="N41" s="55"/>
    </row>
    <row r="42" spans="1:14" s="1" customFormat="1" ht="12.75" hidden="1" thickBot="1">
      <c r="A42" s="12"/>
      <c r="B42" s="12"/>
      <c r="C42" s="20"/>
      <c r="D42" s="38"/>
      <c r="E42" s="20"/>
      <c r="F42" s="11">
        <f t="shared" si="2"/>
        <v>0</v>
      </c>
      <c r="G42" s="25"/>
      <c r="H42" s="25"/>
      <c r="I42" s="17">
        <f t="shared" si="3"/>
        <v>0</v>
      </c>
      <c r="J42" s="12"/>
      <c r="K42" s="12"/>
      <c r="L42" s="17">
        <f t="shared" si="4"/>
        <v>0</v>
      </c>
      <c r="M42" s="12"/>
      <c r="N42" s="12"/>
    </row>
    <row r="43" spans="1:14" s="1" customFormat="1" ht="12.75" hidden="1" thickBot="1">
      <c r="A43" s="9">
        <v>20</v>
      </c>
      <c r="B43" s="9"/>
      <c r="C43" s="18"/>
      <c r="D43" s="37"/>
      <c r="E43" s="18"/>
      <c r="F43" s="11">
        <f t="shared" si="2"/>
        <v>0</v>
      </c>
      <c r="G43" s="24"/>
      <c r="H43" s="24"/>
      <c r="I43" s="88">
        <f t="shared" si="3"/>
        <v>0</v>
      </c>
      <c r="J43" s="55"/>
      <c r="K43" s="55"/>
      <c r="L43" s="58">
        <f t="shared" si="4"/>
        <v>0</v>
      </c>
      <c r="M43" s="55"/>
      <c r="N43" s="58"/>
    </row>
    <row r="44" spans="1:14" s="1" customFormat="1" ht="12.75" hidden="1" thickBot="1">
      <c r="A44" s="12"/>
      <c r="B44" s="12"/>
      <c r="C44" s="20"/>
      <c r="D44" s="42"/>
      <c r="E44" s="20"/>
      <c r="F44" s="11">
        <f t="shared" si="2"/>
        <v>0</v>
      </c>
      <c r="G44" s="25"/>
      <c r="H44" s="25"/>
      <c r="I44" s="17">
        <f t="shared" si="3"/>
        <v>0</v>
      </c>
      <c r="J44" s="12"/>
      <c r="K44" s="12"/>
      <c r="L44" s="17">
        <f t="shared" si="4"/>
        <v>0</v>
      </c>
      <c r="M44" s="12"/>
      <c r="N44" s="10"/>
    </row>
    <row r="45" spans="1:14" s="1" customFormat="1" ht="12.75" hidden="1" thickBot="1">
      <c r="A45" s="9">
        <v>21</v>
      </c>
      <c r="B45" s="9"/>
      <c r="C45" s="21"/>
      <c r="D45" s="37"/>
      <c r="E45" s="18"/>
      <c r="F45" s="11">
        <f t="shared" si="2"/>
        <v>0</v>
      </c>
      <c r="G45" s="24"/>
      <c r="H45" s="24"/>
      <c r="I45" s="58">
        <f t="shared" si="3"/>
        <v>0</v>
      </c>
      <c r="J45" s="55"/>
      <c r="K45" s="55"/>
      <c r="L45" s="88">
        <f t="shared" si="4"/>
        <v>0</v>
      </c>
      <c r="M45" s="55"/>
      <c r="N45" s="58"/>
    </row>
    <row r="46" spans="1:14" s="1" customFormat="1" ht="12.75" hidden="1" thickBot="1">
      <c r="A46" s="12"/>
      <c r="B46" s="12"/>
      <c r="C46" s="22"/>
      <c r="D46" s="38"/>
      <c r="E46" s="20"/>
      <c r="F46" s="11">
        <f t="shared" si="2"/>
        <v>0</v>
      </c>
      <c r="G46" s="25"/>
      <c r="H46" s="25"/>
      <c r="I46" s="17">
        <f t="shared" si="3"/>
        <v>0</v>
      </c>
      <c r="J46" s="12"/>
      <c r="K46" s="12"/>
      <c r="L46" s="17">
        <f t="shared" si="4"/>
        <v>0</v>
      </c>
      <c r="M46" s="12"/>
      <c r="N46" s="10"/>
    </row>
    <row r="47" spans="1:14" s="1" customFormat="1" ht="12.75" hidden="1" thickBot="1">
      <c r="A47" s="9">
        <v>22</v>
      </c>
      <c r="B47" s="9"/>
      <c r="C47" s="18"/>
      <c r="D47" s="37"/>
      <c r="E47" s="18"/>
      <c r="F47" s="11">
        <f>G47+H47</f>
        <v>0</v>
      </c>
      <c r="G47" s="24"/>
      <c r="H47" s="24"/>
      <c r="I47" s="88">
        <f t="shared" si="3"/>
        <v>0</v>
      </c>
      <c r="J47" s="55"/>
      <c r="K47" s="55"/>
      <c r="L47" s="58">
        <f t="shared" si="4"/>
        <v>0</v>
      </c>
      <c r="M47" s="55"/>
      <c r="N47" s="55"/>
    </row>
    <row r="48" spans="1:14" s="1" customFormat="1" ht="12.75" hidden="1" thickBot="1">
      <c r="A48" s="12"/>
      <c r="B48" s="12"/>
      <c r="C48" s="20"/>
      <c r="D48" s="38"/>
      <c r="E48" s="20"/>
      <c r="F48" s="11">
        <f>G48+H48</f>
        <v>0</v>
      </c>
      <c r="G48" s="25"/>
      <c r="H48" s="25"/>
      <c r="I48" s="17">
        <f t="shared" si="3"/>
        <v>0</v>
      </c>
      <c r="J48" s="12"/>
      <c r="K48" s="12"/>
      <c r="L48" s="17">
        <f t="shared" si="4"/>
        <v>0</v>
      </c>
      <c r="M48" s="12"/>
      <c r="N48" s="12"/>
    </row>
    <row r="49" spans="1:14" s="1" customFormat="1" ht="12.75" hidden="1" thickBot="1">
      <c r="A49" s="9">
        <v>22</v>
      </c>
      <c r="B49" s="9"/>
      <c r="C49" s="18"/>
      <c r="D49" s="37"/>
      <c r="E49" s="18"/>
      <c r="F49" s="11">
        <f t="shared" si="2"/>
        <v>0</v>
      </c>
      <c r="G49" s="24"/>
      <c r="H49" s="24"/>
      <c r="I49" s="88">
        <f t="shared" si="3"/>
        <v>0</v>
      </c>
      <c r="J49" s="55"/>
      <c r="K49" s="55"/>
      <c r="L49" s="58">
        <f t="shared" si="4"/>
        <v>0</v>
      </c>
      <c r="M49" s="55"/>
      <c r="N49" s="55"/>
    </row>
    <row r="50" spans="1:14" s="1" customFormat="1" ht="12.75" hidden="1" thickBot="1">
      <c r="A50" s="10"/>
      <c r="B50" s="12"/>
      <c r="C50" s="20"/>
      <c r="D50" s="38"/>
      <c r="E50" s="20"/>
      <c r="F50" s="11">
        <f t="shared" si="2"/>
        <v>0</v>
      </c>
      <c r="G50" s="25"/>
      <c r="H50" s="25"/>
      <c r="I50" s="17">
        <f t="shared" si="3"/>
        <v>0</v>
      </c>
      <c r="J50" s="12"/>
      <c r="K50" s="12"/>
      <c r="L50" s="17">
        <f t="shared" si="4"/>
        <v>0</v>
      </c>
      <c r="M50" s="12"/>
      <c r="N50" s="12"/>
    </row>
    <row r="51" spans="1:14" s="1" customFormat="1" ht="12.75" hidden="1" thickBot="1">
      <c r="A51" s="33">
        <v>23</v>
      </c>
      <c r="C51" s="10"/>
      <c r="D51" s="37"/>
      <c r="E51" s="23"/>
      <c r="F51" s="11">
        <f t="shared" si="2"/>
        <v>0</v>
      </c>
      <c r="G51" s="26"/>
      <c r="H51" s="26"/>
      <c r="I51" s="88">
        <f t="shared" si="3"/>
        <v>0</v>
      </c>
      <c r="J51" s="58"/>
      <c r="K51" s="58"/>
      <c r="L51" s="88">
        <f t="shared" si="4"/>
        <v>0</v>
      </c>
      <c r="M51" s="58"/>
      <c r="N51" s="58"/>
    </row>
    <row r="52" spans="1:14" s="1" customFormat="1" ht="12.75" hidden="1" thickBot="1">
      <c r="A52" s="33"/>
      <c r="C52" s="10"/>
      <c r="D52" s="42"/>
      <c r="E52" s="23"/>
      <c r="F52" s="11">
        <f t="shared" si="2"/>
        <v>0</v>
      </c>
      <c r="G52" s="26"/>
      <c r="H52" s="26"/>
      <c r="I52" s="10">
        <f t="shared" si="3"/>
        <v>0</v>
      </c>
      <c r="J52" s="10"/>
      <c r="K52" s="10"/>
      <c r="L52" s="10">
        <f t="shared" si="4"/>
        <v>0</v>
      </c>
      <c r="M52" s="10"/>
      <c r="N52" s="10"/>
    </row>
    <row r="53" spans="1:14" s="47" customFormat="1" ht="12">
      <c r="A53" s="1661"/>
      <c r="B53" s="323"/>
      <c r="C53" s="1596" t="s">
        <v>229</v>
      </c>
      <c r="D53" s="1596"/>
      <c r="E53" s="1596"/>
      <c r="F53" s="1551">
        <f>F21+F11+F13+F15+F17+F19+F23+F25+F27+F29+F9+F7</f>
        <v>29.836</v>
      </c>
      <c r="G53" s="1551">
        <f>G21+G11+G13+G69+G15+G17+G19+G23+G25+G27+G29+G9+G7</f>
        <v>14.653</v>
      </c>
      <c r="H53" s="1584">
        <f>H21+H11+H13+H69+H15+H17+H19+H23+H25+H27+H29+H9+H7</f>
        <v>15.183</v>
      </c>
      <c r="I53" s="379">
        <f aca="true" t="shared" si="5" ref="I53:N54">I21+I11+I13+I15+I17+I19+I23+I25+I27+I29+I9+I7</f>
        <v>3</v>
      </c>
      <c r="J53" s="378">
        <f t="shared" si="5"/>
        <v>3</v>
      </c>
      <c r="K53" s="379">
        <f t="shared" si="5"/>
        <v>0</v>
      </c>
      <c r="L53" s="378">
        <f t="shared" si="5"/>
        <v>22</v>
      </c>
      <c r="M53" s="379">
        <f t="shared" si="5"/>
        <v>15</v>
      </c>
      <c r="N53" s="379">
        <f t="shared" si="5"/>
        <v>7</v>
      </c>
    </row>
    <row r="54" spans="1:14" s="47" customFormat="1" ht="12.75" thickBot="1">
      <c r="A54" s="1662"/>
      <c r="B54" s="164"/>
      <c r="C54" s="1597"/>
      <c r="D54" s="1597"/>
      <c r="E54" s="1597"/>
      <c r="F54" s="1552"/>
      <c r="G54" s="1552"/>
      <c r="H54" s="1585"/>
      <c r="I54" s="354">
        <f t="shared" si="5"/>
        <v>43.55</v>
      </c>
      <c r="J54" s="380">
        <f t="shared" si="5"/>
        <v>43.55</v>
      </c>
      <c r="K54" s="354">
        <f t="shared" si="5"/>
        <v>0</v>
      </c>
      <c r="L54" s="381">
        <f t="shared" si="5"/>
        <v>340</v>
      </c>
      <c r="M54" s="377">
        <f t="shared" si="5"/>
        <v>262</v>
      </c>
      <c r="N54" s="377">
        <f t="shared" si="5"/>
        <v>78</v>
      </c>
    </row>
    <row r="55" spans="1:8" ht="12.75" hidden="1">
      <c r="A55" s="151"/>
      <c r="B55" s="153"/>
      <c r="C55" s="1150" t="s">
        <v>454</v>
      </c>
      <c r="D55" s="161" t="s">
        <v>450</v>
      </c>
      <c r="E55" s="162"/>
      <c r="F55" s="185">
        <f>SUMIF($D$11:$D$52,"=I",F11:F52)</f>
        <v>0</v>
      </c>
      <c r="G55" s="185">
        <f>SUMIF($D$11:$D$52,"=I",G11:G52)</f>
        <v>0</v>
      </c>
      <c r="H55" s="185">
        <f>SUMIF($D$11:$D$52,"=I",H11:H52)</f>
        <v>0</v>
      </c>
    </row>
    <row r="56" spans="1:8" ht="12.75" hidden="1">
      <c r="A56" s="151"/>
      <c r="B56" s="153"/>
      <c r="C56" s="1151"/>
      <c r="D56" s="69" t="s">
        <v>100</v>
      </c>
      <c r="E56" s="63"/>
      <c r="F56" s="101">
        <f>SUMIF($D$11:$D$52,"=II",F11:F52)</f>
        <v>0</v>
      </c>
      <c r="G56" s="101">
        <f>SUMIF($D$11:$D$52,"=II",G11:G52)</f>
        <v>0</v>
      </c>
      <c r="H56" s="101">
        <f>SUMIF($D$11:$D$52,"=II",H11:H52)</f>
        <v>0</v>
      </c>
    </row>
    <row r="57" spans="1:8" ht="12.75">
      <c r="A57" s="151"/>
      <c r="B57" s="153"/>
      <c r="C57" s="1151"/>
      <c r="D57" s="68" t="s">
        <v>102</v>
      </c>
      <c r="E57" s="63"/>
      <c r="F57" s="101">
        <f>SUMIF($D$7:$D$52,"=III",F7:F52)</f>
        <v>2.333</v>
      </c>
      <c r="G57" s="101">
        <f>SUMIF($D$7:$D$52,"=III",G7:G52)</f>
        <v>2.333</v>
      </c>
      <c r="H57" s="101">
        <f>SUMIF($D$7:$D$52,"=III",H7:H52)</f>
        <v>0</v>
      </c>
    </row>
    <row r="58" spans="1:8" ht="12.75">
      <c r="A58" s="151"/>
      <c r="B58" s="153"/>
      <c r="C58" s="1151"/>
      <c r="D58" s="70" t="s">
        <v>27</v>
      </c>
      <c r="E58" s="67"/>
      <c r="F58" s="101">
        <f>SUMIF($D$7:$D$52,"=IV",F7:F52)</f>
        <v>11.303</v>
      </c>
      <c r="G58" s="101">
        <f>SUMIF($D$7:$D$52,"=IV",G7:G52)</f>
        <v>8.02</v>
      </c>
      <c r="H58" s="101">
        <f>SUMIF($D$7:$D$52,"=IV",H7:H52)</f>
        <v>3.283</v>
      </c>
    </row>
    <row r="59" spans="1:8" ht="12.75">
      <c r="A59" s="152"/>
      <c r="B59" s="154"/>
      <c r="C59" s="1151"/>
      <c r="D59" s="70" t="s">
        <v>49</v>
      </c>
      <c r="E59" s="64"/>
      <c r="F59" s="101">
        <f>SUMIF($D$7:$D$52,"=V",F7:F52)</f>
        <v>16.2</v>
      </c>
      <c r="G59" s="101">
        <f>SUMIF($D$7:$D$52,"=V",G7:G52)</f>
        <v>4.300000000000001</v>
      </c>
      <c r="H59" s="101">
        <f>SUMIF($D$7:$D$52,"=V",H7:H52)</f>
        <v>11.900000000000002</v>
      </c>
    </row>
    <row r="60" spans="3:8" ht="12.75">
      <c r="C60" s="7"/>
      <c r="D60" s="7"/>
      <c r="F60" s="52"/>
      <c r="G60" s="52"/>
      <c r="H60" s="52"/>
    </row>
    <row r="61" spans="3:4" ht="12.75">
      <c r="C61" s="7"/>
      <c r="D61" s="7"/>
    </row>
    <row r="62" spans="3:4" ht="12.75">
      <c r="C62" s="7"/>
      <c r="D62" s="7"/>
    </row>
    <row r="63" spans="3:9" ht="12.75">
      <c r="C63" s="7"/>
      <c r="D63" s="7"/>
      <c r="I63" s="31"/>
    </row>
    <row r="64" spans="3:9" ht="12.75">
      <c r="C64" s="7"/>
      <c r="D64" s="7"/>
      <c r="I64" s="31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</sheetData>
  <sheetProtection/>
  <mergeCells count="121">
    <mergeCell ref="H15:H16"/>
    <mergeCell ref="H53:H54"/>
    <mergeCell ref="H23:H24"/>
    <mergeCell ref="G27:G28"/>
    <mergeCell ref="H9:H10"/>
    <mergeCell ref="H29:H30"/>
    <mergeCell ref="H25:H26"/>
    <mergeCell ref="G9:G10"/>
    <mergeCell ref="H27:H28"/>
    <mergeCell ref="A7:A8"/>
    <mergeCell ref="C7:C8"/>
    <mergeCell ref="D7:D8"/>
    <mergeCell ref="B7:B8"/>
    <mergeCell ref="A9:A10"/>
    <mergeCell ref="A29:A30"/>
    <mergeCell ref="A19:A20"/>
    <mergeCell ref="A27:A28"/>
    <mergeCell ref="B27:B28"/>
    <mergeCell ref="A25:A26"/>
    <mergeCell ref="H19:H20"/>
    <mergeCell ref="G23:G24"/>
    <mergeCell ref="F25:F26"/>
    <mergeCell ref="F23:F24"/>
    <mergeCell ref="G25:G26"/>
    <mergeCell ref="A53:A54"/>
    <mergeCell ref="C53:C54"/>
    <mergeCell ref="D53:D54"/>
    <mergeCell ref="F53:F54"/>
    <mergeCell ref="G53:G54"/>
    <mergeCell ref="F9:F10"/>
    <mergeCell ref="G29:G30"/>
    <mergeCell ref="F7:F8"/>
    <mergeCell ref="G7:G8"/>
    <mergeCell ref="F29:F30"/>
    <mergeCell ref="G19:G20"/>
    <mergeCell ref="H7:H8"/>
    <mergeCell ref="F27:F28"/>
    <mergeCell ref="B23:B24"/>
    <mergeCell ref="C23:C24"/>
    <mergeCell ref="D23:D24"/>
    <mergeCell ref="B25:B26"/>
    <mergeCell ref="E23:E24"/>
    <mergeCell ref="C27:C28"/>
    <mergeCell ref="E27:E28"/>
    <mergeCell ref="C25:C26"/>
    <mergeCell ref="E25:E26"/>
    <mergeCell ref="D25:D26"/>
    <mergeCell ref="D27:D28"/>
    <mergeCell ref="C55:C59"/>
    <mergeCell ref="C9:C10"/>
    <mergeCell ref="D9:D10"/>
    <mergeCell ref="E53:E54"/>
    <mergeCell ref="C17:C18"/>
    <mergeCell ref="D13:D14"/>
    <mergeCell ref="E15:E16"/>
    <mergeCell ref="E7:E8"/>
    <mergeCell ref="E9:E10"/>
    <mergeCell ref="E29:E30"/>
    <mergeCell ref="B29:B30"/>
    <mergeCell ref="C29:C30"/>
    <mergeCell ref="D29:D30"/>
    <mergeCell ref="B9:B10"/>
    <mergeCell ref="B19:B20"/>
    <mergeCell ref="C19:C20"/>
    <mergeCell ref="D17:D18"/>
    <mergeCell ref="A23:A24"/>
    <mergeCell ref="D19:D20"/>
    <mergeCell ref="F15:F16"/>
    <mergeCell ref="C15:C16"/>
    <mergeCell ref="F19:F20"/>
    <mergeCell ref="E19:E20"/>
    <mergeCell ref="F17:F18"/>
    <mergeCell ref="B15:B16"/>
    <mergeCell ref="B13:B14"/>
    <mergeCell ref="A13:A14"/>
    <mergeCell ref="A17:A18"/>
    <mergeCell ref="A15:A16"/>
    <mergeCell ref="B17:B18"/>
    <mergeCell ref="E21:E22"/>
    <mergeCell ref="D11:D12"/>
    <mergeCell ref="F11:F12"/>
    <mergeCell ref="G11:G12"/>
    <mergeCell ref="G17:G18"/>
    <mergeCell ref="G13:G14"/>
    <mergeCell ref="F13:F14"/>
    <mergeCell ref="H13:H14"/>
    <mergeCell ref="C13:C14"/>
    <mergeCell ref="E17:E18"/>
    <mergeCell ref="D15:D16"/>
    <mergeCell ref="G15:G16"/>
    <mergeCell ref="E13:E14"/>
    <mergeCell ref="A1:N1"/>
    <mergeCell ref="A2:N2"/>
    <mergeCell ref="J5:K5"/>
    <mergeCell ref="I4:K4"/>
    <mergeCell ref="A4:A6"/>
    <mergeCell ref="L4:N4"/>
    <mergeCell ref="H5:H6"/>
    <mergeCell ref="D4:D6"/>
    <mergeCell ref="B4:B6"/>
    <mergeCell ref="M5:N5"/>
    <mergeCell ref="H11:H12"/>
    <mergeCell ref="G21:G22"/>
    <mergeCell ref="F21:F22"/>
    <mergeCell ref="H21:H22"/>
    <mergeCell ref="I5:I6"/>
    <mergeCell ref="L5:L6"/>
    <mergeCell ref="F4:F6"/>
    <mergeCell ref="G5:G6"/>
    <mergeCell ref="G4:H4"/>
    <mergeCell ref="H17:H18"/>
    <mergeCell ref="C4:C6"/>
    <mergeCell ref="E11:E12"/>
    <mergeCell ref="A11:A12"/>
    <mergeCell ref="A21:A22"/>
    <mergeCell ref="B11:B12"/>
    <mergeCell ref="B21:B22"/>
    <mergeCell ref="C21:C22"/>
    <mergeCell ref="C11:C12"/>
    <mergeCell ref="D21:D22"/>
    <mergeCell ref="E4:E6"/>
  </mergeCells>
  <printOptions/>
  <pageMargins left="0.6692913385826772" right="0.4724409448818898" top="0.984251968503937" bottom="0.5118110236220472" header="0.5118110236220472" footer="0.5118110236220472"/>
  <pageSetup firstPageNumber="34" useFirstPageNumber="1" fitToHeight="0" fitToWidth="1" horizontalDpi="300" verticalDpi="300" orientation="landscape" paperSize="9" r:id="rId1"/>
  <headerFooter alignWithMargins="0">
    <oddFooter>&amp;CСтраница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9"/>
  <sheetViews>
    <sheetView view="pageBreakPreview" zoomScaleSheetLayoutView="100" zoomScalePageLayoutView="0" workbookViewId="0" topLeftCell="A1">
      <selection activeCell="O1" sqref="O1:AA16384"/>
    </sheetView>
  </sheetViews>
  <sheetFormatPr defaultColWidth="9.00390625" defaultRowHeight="12.75"/>
  <cols>
    <col min="1" max="1" width="4.25390625" style="0" customWidth="1"/>
    <col min="2" max="2" width="13.00390625" style="53" customWidth="1"/>
    <col min="3" max="3" width="32.75390625" style="0" customWidth="1"/>
    <col min="4" max="4" width="9.25390625" style="0" customWidth="1"/>
    <col min="5" max="5" width="8.25390625" style="0" customWidth="1"/>
    <col min="6" max="6" width="10.25390625" style="0" customWidth="1"/>
    <col min="7" max="7" width="7.875" style="0" customWidth="1"/>
    <col min="8" max="8" width="8.75390625" style="0" customWidth="1"/>
    <col min="9" max="9" width="6.37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1235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1" t="s">
        <v>1411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7"/>
      <c r="B7" s="1205"/>
      <c r="C7" s="1215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12">
      <c r="A8" s="1239">
        <v>1</v>
      </c>
      <c r="B8" s="1257" t="s">
        <v>893</v>
      </c>
      <c r="C8" s="1243" t="s">
        <v>191</v>
      </c>
      <c r="D8" s="1257" t="s">
        <v>27</v>
      </c>
      <c r="E8" s="1257" t="s">
        <v>1313</v>
      </c>
      <c r="F8" s="1241">
        <f>G8+H8</f>
        <v>20.587</v>
      </c>
      <c r="G8" s="1247">
        <v>20.587</v>
      </c>
      <c r="H8" s="1247">
        <v>0</v>
      </c>
      <c r="I8" s="263">
        <f aca="true" t="shared" si="0" ref="I8:I15">J8+K8</f>
        <v>2</v>
      </c>
      <c r="J8" s="264">
        <v>2</v>
      </c>
      <c r="K8" s="325">
        <v>0</v>
      </c>
      <c r="L8" s="263">
        <f aca="true" t="shared" si="1" ref="L8:L15">M8+N8</f>
        <v>23</v>
      </c>
      <c r="M8" s="264">
        <v>18</v>
      </c>
      <c r="N8" s="263">
        <v>5</v>
      </c>
    </row>
    <row r="9" spans="1:14" s="266" customFormat="1" ht="12.75" thickBot="1">
      <c r="A9" s="1240"/>
      <c r="B9" s="1261"/>
      <c r="C9" s="1244"/>
      <c r="D9" s="1261"/>
      <c r="E9" s="1261"/>
      <c r="F9" s="1242"/>
      <c r="G9" s="1248"/>
      <c r="H9" s="1248"/>
      <c r="I9" s="901">
        <f t="shared" si="0"/>
        <v>97.43</v>
      </c>
      <c r="J9" s="949">
        <v>97.43</v>
      </c>
      <c r="K9" s="950">
        <v>0</v>
      </c>
      <c r="L9" s="898">
        <f t="shared" si="1"/>
        <v>458</v>
      </c>
      <c r="M9" s="949">
        <v>399</v>
      </c>
      <c r="N9" s="898">
        <v>59</v>
      </c>
    </row>
    <row r="10" spans="1:14" s="266" customFormat="1" ht="12">
      <c r="A10" s="1239">
        <v>2</v>
      </c>
      <c r="B10" s="1241" t="s">
        <v>894</v>
      </c>
      <c r="C10" s="1243" t="s">
        <v>333</v>
      </c>
      <c r="D10" s="1257" t="s">
        <v>27</v>
      </c>
      <c r="E10" s="1257" t="s">
        <v>1453</v>
      </c>
      <c r="F10" s="1247">
        <f>G10+H10</f>
        <v>30.305</v>
      </c>
      <c r="G10" s="1247">
        <v>15.487</v>
      </c>
      <c r="H10" s="1247">
        <v>14.818</v>
      </c>
      <c r="I10" s="263">
        <f t="shared" si="0"/>
        <v>1</v>
      </c>
      <c r="J10" s="264">
        <v>1</v>
      </c>
      <c r="K10" s="325">
        <v>0</v>
      </c>
      <c r="L10" s="263">
        <f t="shared" si="1"/>
        <v>21</v>
      </c>
      <c r="M10" s="264">
        <v>18</v>
      </c>
      <c r="N10" s="263">
        <v>3</v>
      </c>
    </row>
    <row r="11" spans="1:14" s="266" customFormat="1" ht="12.75" thickBot="1">
      <c r="A11" s="1240"/>
      <c r="B11" s="1242"/>
      <c r="C11" s="1244"/>
      <c r="D11" s="1261"/>
      <c r="E11" s="1261"/>
      <c r="F11" s="1242"/>
      <c r="G11" s="1248"/>
      <c r="H11" s="1248"/>
      <c r="I11" s="901">
        <f t="shared" si="0"/>
        <v>18.9</v>
      </c>
      <c r="J11" s="326">
        <v>18.9</v>
      </c>
      <c r="K11" s="950">
        <v>0</v>
      </c>
      <c r="L11" s="898">
        <f t="shared" si="1"/>
        <v>373</v>
      </c>
      <c r="M11" s="949">
        <v>334</v>
      </c>
      <c r="N11" s="898">
        <v>39</v>
      </c>
    </row>
    <row r="12" spans="1:14" s="266" customFormat="1" ht="12">
      <c r="A12" s="1239">
        <v>3</v>
      </c>
      <c r="B12" s="1241" t="s">
        <v>901</v>
      </c>
      <c r="C12" s="1243" t="s">
        <v>334</v>
      </c>
      <c r="D12" s="1257" t="s">
        <v>27</v>
      </c>
      <c r="E12" s="1257" t="s">
        <v>1379</v>
      </c>
      <c r="F12" s="1241">
        <f>G12+H12</f>
        <v>5.854</v>
      </c>
      <c r="G12" s="1247">
        <v>5.854</v>
      </c>
      <c r="H12" s="1247">
        <v>0</v>
      </c>
      <c r="I12" s="263">
        <f t="shared" si="0"/>
        <v>0</v>
      </c>
      <c r="J12" s="264">
        <v>0</v>
      </c>
      <c r="K12" s="325">
        <v>0</v>
      </c>
      <c r="L12" s="263">
        <f t="shared" si="1"/>
        <v>7</v>
      </c>
      <c r="M12" s="264">
        <v>4</v>
      </c>
      <c r="N12" s="263">
        <v>3</v>
      </c>
    </row>
    <row r="13" spans="1:14" s="266" customFormat="1" ht="12.75" thickBot="1">
      <c r="A13" s="1240"/>
      <c r="B13" s="1242"/>
      <c r="C13" s="1244"/>
      <c r="D13" s="1261"/>
      <c r="E13" s="1261"/>
      <c r="F13" s="1242"/>
      <c r="G13" s="1248"/>
      <c r="H13" s="1248"/>
      <c r="I13" s="898">
        <f t="shared" si="0"/>
        <v>0</v>
      </c>
      <c r="J13" s="949">
        <v>0</v>
      </c>
      <c r="K13" s="950">
        <v>0</v>
      </c>
      <c r="L13" s="898">
        <f t="shared" si="1"/>
        <v>184</v>
      </c>
      <c r="M13" s="949">
        <v>127</v>
      </c>
      <c r="N13" s="898">
        <v>57</v>
      </c>
    </row>
    <row r="14" spans="1:14" s="266" customFormat="1" ht="12">
      <c r="A14" s="1239">
        <v>4</v>
      </c>
      <c r="B14" s="1241" t="s">
        <v>902</v>
      </c>
      <c r="C14" s="1243" t="s">
        <v>326</v>
      </c>
      <c r="D14" s="1257" t="s">
        <v>27</v>
      </c>
      <c r="E14" s="1257" t="s">
        <v>1307</v>
      </c>
      <c r="F14" s="1247">
        <f>G14+H14</f>
        <v>19.503</v>
      </c>
      <c r="G14" s="1247">
        <v>19.503</v>
      </c>
      <c r="H14" s="1247"/>
      <c r="I14" s="263">
        <f t="shared" si="0"/>
        <v>1</v>
      </c>
      <c r="J14" s="264">
        <v>1</v>
      </c>
      <c r="K14" s="325">
        <v>0</v>
      </c>
      <c r="L14" s="263">
        <f t="shared" si="1"/>
        <v>13</v>
      </c>
      <c r="M14" s="264">
        <v>4</v>
      </c>
      <c r="N14" s="263">
        <v>9</v>
      </c>
    </row>
    <row r="15" spans="1:14" s="266" customFormat="1" ht="35.25" customHeight="1" thickBot="1">
      <c r="A15" s="1240"/>
      <c r="B15" s="1242"/>
      <c r="C15" s="1244"/>
      <c r="D15" s="1261"/>
      <c r="E15" s="1242"/>
      <c r="F15" s="1248"/>
      <c r="G15" s="1248"/>
      <c r="H15" s="1248"/>
      <c r="I15" s="901">
        <f t="shared" si="0"/>
        <v>75.65</v>
      </c>
      <c r="J15" s="326">
        <v>75.65</v>
      </c>
      <c r="K15" s="950">
        <v>0</v>
      </c>
      <c r="L15" s="898">
        <f t="shared" si="1"/>
        <v>223</v>
      </c>
      <c r="M15" s="949">
        <v>95</v>
      </c>
      <c r="N15" s="898">
        <v>128</v>
      </c>
    </row>
    <row r="16" spans="1:14" s="1" customFormat="1" ht="12">
      <c r="A16" s="1219">
        <v>5</v>
      </c>
      <c r="B16" s="1217" t="s">
        <v>1067</v>
      </c>
      <c r="C16" s="1803" t="s">
        <v>459</v>
      </c>
      <c r="D16" s="1562" t="s">
        <v>27</v>
      </c>
      <c r="E16" s="1251" t="s">
        <v>1378</v>
      </c>
      <c r="F16" s="1241">
        <f>G16+H16</f>
        <v>43.111000000000004</v>
      </c>
      <c r="G16" s="1249">
        <v>20.5</v>
      </c>
      <c r="H16" s="1247">
        <v>22.611</v>
      </c>
      <c r="I16" s="263">
        <f aca="true" t="shared" si="2" ref="I16:I55">J16+K16</f>
        <v>0</v>
      </c>
      <c r="J16" s="264">
        <v>0</v>
      </c>
      <c r="K16" s="265">
        <v>0</v>
      </c>
      <c r="L16" s="263">
        <f aca="true" t="shared" si="3" ref="L16:L55">M16+N16</f>
        <v>21</v>
      </c>
      <c r="M16" s="264">
        <v>18</v>
      </c>
      <c r="N16" s="263">
        <v>3</v>
      </c>
    </row>
    <row r="17" spans="1:14" s="1" customFormat="1" ht="12.75" thickBot="1">
      <c r="A17" s="1593"/>
      <c r="B17" s="1802"/>
      <c r="C17" s="1804"/>
      <c r="D17" s="1801"/>
      <c r="E17" s="1439"/>
      <c r="F17" s="1242"/>
      <c r="G17" s="1250"/>
      <c r="H17" s="1248"/>
      <c r="I17" s="898">
        <f t="shared" si="2"/>
        <v>0</v>
      </c>
      <c r="J17" s="949">
        <v>0</v>
      </c>
      <c r="K17" s="907">
        <v>0</v>
      </c>
      <c r="L17" s="898">
        <f t="shared" si="3"/>
        <v>399</v>
      </c>
      <c r="M17" s="949">
        <v>364</v>
      </c>
      <c r="N17" s="898">
        <v>35</v>
      </c>
    </row>
    <row r="18" spans="1:14" s="1" customFormat="1" ht="12">
      <c r="A18" s="1219">
        <v>6</v>
      </c>
      <c r="B18" s="1217" t="s">
        <v>1068</v>
      </c>
      <c r="C18" s="1803" t="s">
        <v>325</v>
      </c>
      <c r="D18" s="1562" t="s">
        <v>27</v>
      </c>
      <c r="E18" s="1257" t="s">
        <v>1375</v>
      </c>
      <c r="F18" s="1247">
        <f>G18+H18</f>
        <v>34.359</v>
      </c>
      <c r="G18" s="1247">
        <v>34.359</v>
      </c>
      <c r="H18" s="1249">
        <v>0</v>
      </c>
      <c r="I18" s="263">
        <f t="shared" si="2"/>
        <v>1</v>
      </c>
      <c r="J18" s="265">
        <v>1</v>
      </c>
      <c r="K18" s="325">
        <v>0</v>
      </c>
      <c r="L18" s="263">
        <f t="shared" si="3"/>
        <v>42</v>
      </c>
      <c r="M18" s="265">
        <v>34</v>
      </c>
      <c r="N18" s="263">
        <v>8</v>
      </c>
    </row>
    <row r="19" spans="1:14" s="1" customFormat="1" ht="12.75" thickBot="1">
      <c r="A19" s="1593"/>
      <c r="B19" s="1802"/>
      <c r="C19" s="1804"/>
      <c r="D19" s="1801"/>
      <c r="E19" s="1261"/>
      <c r="F19" s="1242"/>
      <c r="G19" s="1248"/>
      <c r="H19" s="1250"/>
      <c r="I19" s="901">
        <f t="shared" si="2"/>
        <v>113.35</v>
      </c>
      <c r="J19" s="907">
        <v>113.35</v>
      </c>
      <c r="K19" s="950">
        <v>0</v>
      </c>
      <c r="L19" s="898">
        <f t="shared" si="3"/>
        <v>786</v>
      </c>
      <c r="M19" s="907">
        <v>684</v>
      </c>
      <c r="N19" s="898">
        <v>102</v>
      </c>
    </row>
    <row r="20" spans="1:14" s="266" customFormat="1" ht="12">
      <c r="A20" s="1239">
        <v>7</v>
      </c>
      <c r="B20" s="1241" t="s">
        <v>1069</v>
      </c>
      <c r="C20" s="1243" t="s">
        <v>435</v>
      </c>
      <c r="D20" s="1257" t="s">
        <v>102</v>
      </c>
      <c r="E20" s="1245" t="s">
        <v>576</v>
      </c>
      <c r="F20" s="1274">
        <f>G20+H20</f>
        <v>2.086</v>
      </c>
      <c r="G20" s="1274">
        <v>2.086</v>
      </c>
      <c r="H20" s="1249">
        <v>0</v>
      </c>
      <c r="I20" s="263">
        <f t="shared" si="2"/>
        <v>0</v>
      </c>
      <c r="J20" s="264">
        <v>0</v>
      </c>
      <c r="K20" s="265">
        <v>0</v>
      </c>
      <c r="L20" s="263">
        <f t="shared" si="3"/>
        <v>2</v>
      </c>
      <c r="M20" s="264">
        <v>2</v>
      </c>
      <c r="N20" s="263">
        <v>0</v>
      </c>
    </row>
    <row r="21" spans="1:14" s="266" customFormat="1" ht="12.75" thickBot="1">
      <c r="A21" s="1240"/>
      <c r="B21" s="1242"/>
      <c r="C21" s="1244"/>
      <c r="D21" s="1261"/>
      <c r="E21" s="1246"/>
      <c r="F21" s="1275"/>
      <c r="G21" s="1275"/>
      <c r="H21" s="1250"/>
      <c r="I21" s="898">
        <f t="shared" si="2"/>
        <v>0</v>
      </c>
      <c r="J21" s="949">
        <v>0</v>
      </c>
      <c r="K21" s="907">
        <v>0</v>
      </c>
      <c r="L21" s="898">
        <f t="shared" si="3"/>
        <v>34</v>
      </c>
      <c r="M21" s="949">
        <v>34</v>
      </c>
      <c r="N21" s="898">
        <v>0</v>
      </c>
    </row>
    <row r="22" spans="1:14" s="266" customFormat="1" ht="12">
      <c r="A22" s="1239">
        <v>8</v>
      </c>
      <c r="B22" s="1241" t="s">
        <v>1070</v>
      </c>
      <c r="C22" s="1243" t="s">
        <v>327</v>
      </c>
      <c r="D22" s="1257" t="s">
        <v>27</v>
      </c>
      <c r="E22" s="1245" t="s">
        <v>1372</v>
      </c>
      <c r="F22" s="1241">
        <f>G22+H22</f>
        <v>4.176</v>
      </c>
      <c r="G22" s="1249">
        <v>0</v>
      </c>
      <c r="H22" s="1247">
        <v>4.176</v>
      </c>
      <c r="I22" s="263">
        <f t="shared" si="2"/>
        <v>0</v>
      </c>
      <c r="J22" s="265">
        <v>0</v>
      </c>
      <c r="K22" s="325">
        <v>0</v>
      </c>
      <c r="L22" s="263">
        <f t="shared" si="3"/>
        <v>2</v>
      </c>
      <c r="M22" s="265">
        <v>2</v>
      </c>
      <c r="N22" s="263">
        <v>0</v>
      </c>
    </row>
    <row r="23" spans="1:14" s="266" customFormat="1" ht="12.75" thickBot="1">
      <c r="A23" s="1240"/>
      <c r="B23" s="1242"/>
      <c r="C23" s="1244"/>
      <c r="D23" s="1261"/>
      <c r="E23" s="1246"/>
      <c r="F23" s="1242"/>
      <c r="G23" s="1250"/>
      <c r="H23" s="1248"/>
      <c r="I23" s="898">
        <f t="shared" si="2"/>
        <v>0</v>
      </c>
      <c r="J23" s="907">
        <v>0</v>
      </c>
      <c r="K23" s="950">
        <v>0</v>
      </c>
      <c r="L23" s="898">
        <f t="shared" si="3"/>
        <v>38</v>
      </c>
      <c r="M23" s="907">
        <v>38</v>
      </c>
      <c r="N23" s="898">
        <v>0</v>
      </c>
    </row>
    <row r="24" spans="1:14" s="266" customFormat="1" ht="12">
      <c r="A24" s="1239">
        <v>9</v>
      </c>
      <c r="B24" s="1241" t="s">
        <v>1071</v>
      </c>
      <c r="C24" s="1243" t="s">
        <v>328</v>
      </c>
      <c r="D24" s="1257" t="s">
        <v>27</v>
      </c>
      <c r="E24" s="1241" t="s">
        <v>1373</v>
      </c>
      <c r="F24" s="1241">
        <f>G24+H24</f>
        <v>3.669</v>
      </c>
      <c r="G24" s="1249">
        <v>0</v>
      </c>
      <c r="H24" s="1247">
        <v>3.669</v>
      </c>
      <c r="I24" s="263">
        <f t="shared" si="2"/>
        <v>0</v>
      </c>
      <c r="J24" s="264">
        <v>0</v>
      </c>
      <c r="K24" s="325">
        <v>0</v>
      </c>
      <c r="L24" s="263">
        <f t="shared" si="3"/>
        <v>2</v>
      </c>
      <c r="M24" s="264">
        <v>2</v>
      </c>
      <c r="N24" s="263">
        <v>0</v>
      </c>
    </row>
    <row r="25" spans="1:14" s="266" customFormat="1" ht="12.75" thickBot="1">
      <c r="A25" s="1240"/>
      <c r="B25" s="1242"/>
      <c r="C25" s="1244"/>
      <c r="D25" s="1261"/>
      <c r="E25" s="1242"/>
      <c r="F25" s="1242"/>
      <c r="G25" s="1250"/>
      <c r="H25" s="1248"/>
      <c r="I25" s="898">
        <f t="shared" si="2"/>
        <v>0</v>
      </c>
      <c r="J25" s="949">
        <v>0</v>
      </c>
      <c r="K25" s="950">
        <v>0</v>
      </c>
      <c r="L25" s="898">
        <f t="shared" si="3"/>
        <v>36</v>
      </c>
      <c r="M25" s="949">
        <v>36</v>
      </c>
      <c r="N25" s="898">
        <v>0</v>
      </c>
    </row>
    <row r="26" spans="1:14" s="266" customFormat="1" ht="12">
      <c r="A26" s="1239">
        <v>10</v>
      </c>
      <c r="B26" s="1241" t="s">
        <v>1072</v>
      </c>
      <c r="C26" s="1243" t="s">
        <v>329</v>
      </c>
      <c r="D26" s="1257" t="s">
        <v>27</v>
      </c>
      <c r="E26" s="1257" t="s">
        <v>1374</v>
      </c>
      <c r="F26" s="1241">
        <f>G26+H26</f>
        <v>4.042</v>
      </c>
      <c r="G26" s="1241">
        <v>0</v>
      </c>
      <c r="H26" s="1241">
        <v>4.042</v>
      </c>
      <c r="I26" s="263">
        <f t="shared" si="2"/>
        <v>0</v>
      </c>
      <c r="J26" s="265">
        <v>0</v>
      </c>
      <c r="K26" s="325">
        <v>0</v>
      </c>
      <c r="L26" s="263">
        <f t="shared" si="3"/>
        <v>2</v>
      </c>
      <c r="M26" s="265">
        <v>2</v>
      </c>
      <c r="N26" s="263">
        <v>0</v>
      </c>
    </row>
    <row r="27" spans="1:14" s="266" customFormat="1" ht="12.75" thickBot="1">
      <c r="A27" s="1240"/>
      <c r="B27" s="1242"/>
      <c r="C27" s="1244"/>
      <c r="D27" s="1261"/>
      <c r="E27" s="1261"/>
      <c r="F27" s="1242"/>
      <c r="G27" s="1242"/>
      <c r="H27" s="1242"/>
      <c r="I27" s="898">
        <f t="shared" si="2"/>
        <v>0</v>
      </c>
      <c r="J27" s="907">
        <v>0</v>
      </c>
      <c r="K27" s="950">
        <v>0</v>
      </c>
      <c r="L27" s="898">
        <f t="shared" si="3"/>
        <v>32</v>
      </c>
      <c r="M27" s="907">
        <v>32</v>
      </c>
      <c r="N27" s="898">
        <v>0</v>
      </c>
    </row>
    <row r="28" spans="1:14" s="266" customFormat="1" ht="12">
      <c r="A28" s="1239">
        <v>11</v>
      </c>
      <c r="B28" s="1241" t="s">
        <v>1073</v>
      </c>
      <c r="C28" s="1243" t="s">
        <v>436</v>
      </c>
      <c r="D28" s="1257" t="s">
        <v>27</v>
      </c>
      <c r="E28" s="1241" t="s">
        <v>1376</v>
      </c>
      <c r="F28" s="1241">
        <f>G28+H28</f>
        <v>5.475</v>
      </c>
      <c r="G28" s="1249">
        <v>0</v>
      </c>
      <c r="H28" s="1247">
        <v>5.475</v>
      </c>
      <c r="I28" s="263">
        <f t="shared" si="2"/>
        <v>0</v>
      </c>
      <c r="J28" s="264">
        <v>0</v>
      </c>
      <c r="K28" s="325">
        <v>0</v>
      </c>
      <c r="L28" s="263">
        <f t="shared" si="3"/>
        <v>1</v>
      </c>
      <c r="M28" s="264">
        <v>1</v>
      </c>
      <c r="N28" s="263">
        <v>0</v>
      </c>
    </row>
    <row r="29" spans="1:14" s="266" customFormat="1" ht="12.75" thickBot="1">
      <c r="A29" s="1240"/>
      <c r="B29" s="1242"/>
      <c r="C29" s="1244"/>
      <c r="D29" s="1261"/>
      <c r="E29" s="1242"/>
      <c r="F29" s="1242"/>
      <c r="G29" s="1250"/>
      <c r="H29" s="1248"/>
      <c r="I29" s="898">
        <f t="shared" si="2"/>
        <v>0</v>
      </c>
      <c r="J29" s="949">
        <v>0</v>
      </c>
      <c r="K29" s="950">
        <v>0</v>
      </c>
      <c r="L29" s="898">
        <f t="shared" si="3"/>
        <v>14</v>
      </c>
      <c r="M29" s="949">
        <v>14</v>
      </c>
      <c r="N29" s="898">
        <v>0</v>
      </c>
    </row>
    <row r="30" spans="1:14" s="266" customFormat="1" ht="12">
      <c r="A30" s="1239">
        <v>12</v>
      </c>
      <c r="B30" s="1241" t="s">
        <v>1074</v>
      </c>
      <c r="C30" s="1243" t="s">
        <v>437</v>
      </c>
      <c r="D30" s="1257" t="s">
        <v>27</v>
      </c>
      <c r="E30" s="1241" t="s">
        <v>578</v>
      </c>
      <c r="F30" s="1241">
        <f>G30+H30</f>
        <v>8.934</v>
      </c>
      <c r="G30" s="1249">
        <v>0</v>
      </c>
      <c r="H30" s="1274">
        <v>8.934</v>
      </c>
      <c r="I30" s="263">
        <f t="shared" si="2"/>
        <v>0</v>
      </c>
      <c r="J30" s="264">
        <v>0</v>
      </c>
      <c r="K30" s="325">
        <v>0</v>
      </c>
      <c r="L30" s="263">
        <f t="shared" si="3"/>
        <v>6</v>
      </c>
      <c r="M30" s="264">
        <v>5</v>
      </c>
      <c r="N30" s="263">
        <v>1</v>
      </c>
    </row>
    <row r="31" spans="1:14" s="266" customFormat="1" ht="12.75" thickBot="1">
      <c r="A31" s="1240"/>
      <c r="B31" s="1242"/>
      <c r="C31" s="1244"/>
      <c r="D31" s="1261"/>
      <c r="E31" s="1242"/>
      <c r="F31" s="1242"/>
      <c r="G31" s="1250"/>
      <c r="H31" s="1275"/>
      <c r="I31" s="898">
        <f t="shared" si="2"/>
        <v>0</v>
      </c>
      <c r="J31" s="949">
        <v>0</v>
      </c>
      <c r="K31" s="950">
        <v>0</v>
      </c>
      <c r="L31" s="898">
        <f t="shared" si="3"/>
        <v>83</v>
      </c>
      <c r="M31" s="949">
        <v>73</v>
      </c>
      <c r="N31" s="898">
        <v>10</v>
      </c>
    </row>
    <row r="32" spans="1:14" s="266" customFormat="1" ht="12">
      <c r="A32" s="1239">
        <v>13</v>
      </c>
      <c r="B32" s="1241" t="s">
        <v>1075</v>
      </c>
      <c r="C32" s="1815" t="s">
        <v>330</v>
      </c>
      <c r="D32" s="1257" t="s">
        <v>27</v>
      </c>
      <c r="E32" s="1241" t="s">
        <v>324</v>
      </c>
      <c r="F32" s="1241">
        <f>G32+H32</f>
        <v>1.4</v>
      </c>
      <c r="G32" s="1249">
        <v>0</v>
      </c>
      <c r="H32" s="1249">
        <v>1.4</v>
      </c>
      <c r="I32" s="263">
        <f t="shared" si="2"/>
        <v>0</v>
      </c>
      <c r="J32" s="264">
        <v>0</v>
      </c>
      <c r="K32" s="325">
        <v>0</v>
      </c>
      <c r="L32" s="263">
        <f t="shared" si="3"/>
        <v>0</v>
      </c>
      <c r="M32" s="264">
        <v>0</v>
      </c>
      <c r="N32" s="263">
        <v>0</v>
      </c>
    </row>
    <row r="33" spans="1:14" s="266" customFormat="1" ht="12.75" thickBot="1">
      <c r="A33" s="1240"/>
      <c r="B33" s="1242"/>
      <c r="C33" s="1816"/>
      <c r="D33" s="1261"/>
      <c r="E33" s="1242"/>
      <c r="F33" s="1242"/>
      <c r="G33" s="1250"/>
      <c r="H33" s="1250"/>
      <c r="I33" s="778">
        <f t="shared" si="2"/>
        <v>0</v>
      </c>
      <c r="J33" s="786">
        <v>0</v>
      </c>
      <c r="K33" s="787">
        <v>0</v>
      </c>
      <c r="L33" s="778">
        <f t="shared" si="3"/>
        <v>0</v>
      </c>
      <c r="M33" s="786">
        <v>0</v>
      </c>
      <c r="N33" s="778">
        <v>0</v>
      </c>
    </row>
    <row r="34" spans="1:14" s="266" customFormat="1" ht="12">
      <c r="A34" s="1239">
        <v>14</v>
      </c>
      <c r="B34" s="1241" t="s">
        <v>1076</v>
      </c>
      <c r="C34" s="1243" t="s">
        <v>331</v>
      </c>
      <c r="D34" s="1257" t="s">
        <v>49</v>
      </c>
      <c r="E34" s="1241" t="s">
        <v>1377</v>
      </c>
      <c r="F34" s="1241">
        <f>G34+H34</f>
        <v>19.969</v>
      </c>
      <c r="G34" s="1249">
        <v>0</v>
      </c>
      <c r="H34" s="1247">
        <v>19.969</v>
      </c>
      <c r="I34" s="263">
        <f t="shared" si="2"/>
        <v>0</v>
      </c>
      <c r="J34" s="264">
        <v>0</v>
      </c>
      <c r="K34" s="325">
        <v>0</v>
      </c>
      <c r="L34" s="263">
        <f t="shared" si="3"/>
        <v>10</v>
      </c>
      <c r="M34" s="264">
        <v>9</v>
      </c>
      <c r="N34" s="263">
        <v>1</v>
      </c>
    </row>
    <row r="35" spans="1:14" s="266" customFormat="1" ht="12.75" thickBot="1">
      <c r="A35" s="1240"/>
      <c r="B35" s="1242"/>
      <c r="C35" s="1244"/>
      <c r="D35" s="1261"/>
      <c r="E35" s="1242"/>
      <c r="F35" s="1242"/>
      <c r="G35" s="1250"/>
      <c r="H35" s="1248"/>
      <c r="I35" s="778">
        <f t="shared" si="2"/>
        <v>0</v>
      </c>
      <c r="J35" s="786">
        <v>0</v>
      </c>
      <c r="K35" s="787">
        <v>0</v>
      </c>
      <c r="L35" s="778">
        <f t="shared" si="3"/>
        <v>154</v>
      </c>
      <c r="M35" s="786">
        <v>126</v>
      </c>
      <c r="N35" s="778">
        <v>28</v>
      </c>
    </row>
    <row r="36" spans="1:14" s="266" customFormat="1" ht="12">
      <c r="A36" s="1239">
        <v>15</v>
      </c>
      <c r="B36" s="1241" t="s">
        <v>1077</v>
      </c>
      <c r="C36" s="1243" t="s">
        <v>332</v>
      </c>
      <c r="D36" s="1257" t="s">
        <v>102</v>
      </c>
      <c r="E36" s="1241" t="s">
        <v>1282</v>
      </c>
      <c r="F36" s="1241">
        <f>G36+H36</f>
        <v>9.845</v>
      </c>
      <c r="G36" s="1274">
        <v>9.845</v>
      </c>
      <c r="H36" s="1274"/>
      <c r="I36" s="263">
        <f t="shared" si="2"/>
        <v>1</v>
      </c>
      <c r="J36" s="264">
        <v>0</v>
      </c>
      <c r="K36" s="325">
        <v>1</v>
      </c>
      <c r="L36" s="263">
        <f t="shared" si="3"/>
        <v>7</v>
      </c>
      <c r="M36" s="264">
        <v>7</v>
      </c>
      <c r="N36" s="263">
        <v>0</v>
      </c>
    </row>
    <row r="37" spans="1:14" s="266" customFormat="1" ht="12.75" thickBot="1">
      <c r="A37" s="1240"/>
      <c r="B37" s="1242"/>
      <c r="C37" s="1244"/>
      <c r="D37" s="1261"/>
      <c r="E37" s="1242"/>
      <c r="F37" s="1242"/>
      <c r="G37" s="1275"/>
      <c r="H37" s="1275"/>
      <c r="I37" s="779">
        <f t="shared" si="2"/>
        <v>379.5</v>
      </c>
      <c r="J37" s="786">
        <v>0</v>
      </c>
      <c r="K37" s="792">
        <v>379.5</v>
      </c>
      <c r="L37" s="778">
        <f t="shared" si="3"/>
        <v>137</v>
      </c>
      <c r="M37" s="786">
        <v>137</v>
      </c>
      <c r="N37" s="778">
        <v>0</v>
      </c>
    </row>
    <row r="38" spans="1:14" s="266" customFormat="1" ht="12" hidden="1">
      <c r="A38" s="1307">
        <v>16</v>
      </c>
      <c r="B38" s="1308"/>
      <c r="C38" s="1412"/>
      <c r="D38" s="1412" t="s">
        <v>27</v>
      </c>
      <c r="E38" s="1647"/>
      <c r="F38" s="1308">
        <f>G38+H38</f>
        <v>0</v>
      </c>
      <c r="G38" s="1413"/>
      <c r="H38" s="1413"/>
      <c r="I38" s="780">
        <f t="shared" si="2"/>
        <v>0</v>
      </c>
      <c r="J38" s="777"/>
      <c r="K38" s="784"/>
      <c r="L38" s="780">
        <f t="shared" si="3"/>
        <v>0</v>
      </c>
      <c r="M38" s="777"/>
      <c r="N38" s="780"/>
    </row>
    <row r="39" spans="1:14" s="266" customFormat="1" ht="12" hidden="1">
      <c r="A39" s="1238"/>
      <c r="B39" s="1393"/>
      <c r="C39" s="1258"/>
      <c r="D39" s="1258"/>
      <c r="E39" s="1648"/>
      <c r="F39" s="1393"/>
      <c r="G39" s="1414"/>
      <c r="H39" s="1414"/>
      <c r="I39" s="781">
        <f t="shared" si="2"/>
        <v>0</v>
      </c>
      <c r="J39" s="302"/>
      <c r="K39" s="785"/>
      <c r="L39" s="781">
        <f t="shared" si="3"/>
        <v>0</v>
      </c>
      <c r="M39" s="302"/>
      <c r="N39" s="781"/>
    </row>
    <row r="40" spans="1:14" s="266" customFormat="1" ht="12" hidden="1">
      <c r="A40" s="1237">
        <v>17</v>
      </c>
      <c r="B40" s="1394"/>
      <c r="C40" s="1401"/>
      <c r="D40" s="1401" t="s">
        <v>27</v>
      </c>
      <c r="E40" s="1401"/>
      <c r="F40" s="1394">
        <f>G40+H40</f>
        <v>0</v>
      </c>
      <c r="G40" s="1404"/>
      <c r="H40" s="1404"/>
      <c r="I40" s="782">
        <f t="shared" si="2"/>
        <v>0</v>
      </c>
      <c r="J40" s="304"/>
      <c r="K40" s="783"/>
      <c r="L40" s="782">
        <f t="shared" si="3"/>
        <v>0</v>
      </c>
      <c r="M40" s="304"/>
      <c r="N40" s="782"/>
    </row>
    <row r="41" spans="1:14" s="266" customFormat="1" ht="12" hidden="1">
      <c r="A41" s="1238"/>
      <c r="B41" s="1393"/>
      <c r="C41" s="1258"/>
      <c r="D41" s="1258"/>
      <c r="E41" s="1258"/>
      <c r="F41" s="1393"/>
      <c r="G41" s="1414"/>
      <c r="H41" s="1414"/>
      <c r="I41" s="781">
        <f t="shared" si="2"/>
        <v>0</v>
      </c>
      <c r="J41" s="302"/>
      <c r="K41" s="785"/>
      <c r="L41" s="781">
        <f t="shared" si="3"/>
        <v>0</v>
      </c>
      <c r="M41" s="302"/>
      <c r="N41" s="781"/>
    </row>
    <row r="42" spans="1:14" s="266" customFormat="1" ht="12" hidden="1">
      <c r="A42" s="1237">
        <v>18</v>
      </c>
      <c r="B42" s="1394"/>
      <c r="C42" s="1401"/>
      <c r="D42" s="1401"/>
      <c r="E42" s="1650"/>
      <c r="F42" s="1394">
        <f>G42+H42</f>
        <v>0</v>
      </c>
      <c r="G42" s="1404"/>
      <c r="H42" s="1404"/>
      <c r="I42" s="782">
        <f t="shared" si="2"/>
        <v>0</v>
      </c>
      <c r="J42" s="304"/>
      <c r="K42" s="783"/>
      <c r="L42" s="782">
        <f t="shared" si="3"/>
        <v>0</v>
      </c>
      <c r="M42" s="304"/>
      <c r="N42" s="782"/>
    </row>
    <row r="43" spans="1:14" s="266" customFormat="1" ht="12" hidden="1">
      <c r="A43" s="1238"/>
      <c r="B43" s="1393"/>
      <c r="C43" s="1258"/>
      <c r="D43" s="1258"/>
      <c r="E43" s="1648"/>
      <c r="F43" s="1393"/>
      <c r="G43" s="1414"/>
      <c r="H43" s="1414"/>
      <c r="I43" s="781">
        <f t="shared" si="2"/>
        <v>0</v>
      </c>
      <c r="J43" s="302"/>
      <c r="K43" s="785"/>
      <c r="L43" s="781">
        <f t="shared" si="3"/>
        <v>0</v>
      </c>
      <c r="M43" s="302"/>
      <c r="N43" s="781"/>
    </row>
    <row r="44" spans="1:14" s="266" customFormat="1" ht="13.5" customHeight="1" hidden="1">
      <c r="A44" s="1237">
        <v>19</v>
      </c>
      <c r="B44" s="1394"/>
      <c r="C44" s="1401"/>
      <c r="D44" s="1401"/>
      <c r="E44" s="1401"/>
      <c r="F44" s="1394">
        <f>G44+H44</f>
        <v>0</v>
      </c>
      <c r="G44" s="1404"/>
      <c r="H44" s="1404"/>
      <c r="I44" s="782">
        <f t="shared" si="2"/>
        <v>0</v>
      </c>
      <c r="J44" s="304"/>
      <c r="K44" s="783"/>
      <c r="L44" s="782">
        <f t="shared" si="3"/>
        <v>0</v>
      </c>
      <c r="M44" s="304"/>
      <c r="N44" s="782"/>
    </row>
    <row r="45" spans="1:14" s="266" customFormat="1" ht="12" hidden="1">
      <c r="A45" s="1238"/>
      <c r="B45" s="1393"/>
      <c r="C45" s="1258"/>
      <c r="D45" s="1258"/>
      <c r="E45" s="1258"/>
      <c r="F45" s="1393"/>
      <c r="G45" s="1414"/>
      <c r="H45" s="1414"/>
      <c r="I45" s="781">
        <f t="shared" si="2"/>
        <v>0</v>
      </c>
      <c r="J45" s="302"/>
      <c r="K45" s="785"/>
      <c r="L45" s="781">
        <f t="shared" si="3"/>
        <v>0</v>
      </c>
      <c r="M45" s="302"/>
      <c r="N45" s="781"/>
    </row>
    <row r="46" spans="1:14" s="266" customFormat="1" ht="12" hidden="1">
      <c r="A46" s="1237">
        <v>20</v>
      </c>
      <c r="B46" s="1394"/>
      <c r="C46" s="1401"/>
      <c r="D46" s="1401"/>
      <c r="E46" s="1401"/>
      <c r="F46" s="1394">
        <f>G46+H46</f>
        <v>0</v>
      </c>
      <c r="G46" s="1404"/>
      <c r="H46" s="1404"/>
      <c r="I46" s="782">
        <f t="shared" si="2"/>
        <v>0</v>
      </c>
      <c r="J46" s="304"/>
      <c r="K46" s="783"/>
      <c r="L46" s="782">
        <f t="shared" si="3"/>
        <v>0</v>
      </c>
      <c r="M46" s="304"/>
      <c r="N46" s="780"/>
    </row>
    <row r="47" spans="1:14" s="266" customFormat="1" ht="12" hidden="1">
      <c r="A47" s="1238"/>
      <c r="B47" s="1393"/>
      <c r="C47" s="1258"/>
      <c r="D47" s="1258"/>
      <c r="E47" s="1258"/>
      <c r="F47" s="1393"/>
      <c r="G47" s="1414"/>
      <c r="H47" s="1414"/>
      <c r="I47" s="781">
        <f t="shared" si="2"/>
        <v>0</v>
      </c>
      <c r="J47" s="302"/>
      <c r="K47" s="785"/>
      <c r="L47" s="781">
        <f t="shared" si="3"/>
        <v>0</v>
      </c>
      <c r="M47" s="302"/>
      <c r="N47" s="780"/>
    </row>
    <row r="48" spans="1:14" s="266" customFormat="1" ht="12" hidden="1">
      <c r="A48" s="1237">
        <v>21</v>
      </c>
      <c r="B48" s="1394"/>
      <c r="C48" s="1401"/>
      <c r="D48" s="1401"/>
      <c r="E48" s="1401"/>
      <c r="F48" s="1394">
        <f>G48+H48</f>
        <v>0</v>
      </c>
      <c r="G48" s="1404"/>
      <c r="H48" s="1404"/>
      <c r="I48" s="782">
        <f t="shared" si="2"/>
        <v>0</v>
      </c>
      <c r="J48" s="304"/>
      <c r="K48" s="783"/>
      <c r="L48" s="782">
        <f t="shared" si="3"/>
        <v>0</v>
      </c>
      <c r="M48" s="304"/>
      <c r="N48" s="780"/>
    </row>
    <row r="49" spans="1:14" s="266" customFormat="1" ht="12" hidden="1">
      <c r="A49" s="1238"/>
      <c r="B49" s="1393"/>
      <c r="C49" s="1258"/>
      <c r="D49" s="1258"/>
      <c r="E49" s="1258"/>
      <c r="F49" s="1393"/>
      <c r="G49" s="1414"/>
      <c r="H49" s="1414"/>
      <c r="I49" s="781">
        <f t="shared" si="2"/>
        <v>0</v>
      </c>
      <c r="J49" s="302"/>
      <c r="K49" s="785"/>
      <c r="L49" s="781">
        <f t="shared" si="3"/>
        <v>0</v>
      </c>
      <c r="M49" s="302"/>
      <c r="N49" s="780"/>
    </row>
    <row r="50" spans="1:14" s="266" customFormat="1" ht="24" customHeight="1" hidden="1">
      <c r="A50" s="1237">
        <v>22</v>
      </c>
      <c r="B50" s="1394"/>
      <c r="C50" s="1401"/>
      <c r="D50" s="1401"/>
      <c r="E50" s="1401"/>
      <c r="F50" s="1394">
        <f>G50+H50</f>
        <v>0</v>
      </c>
      <c r="G50" s="1404"/>
      <c r="H50" s="1404"/>
      <c r="I50" s="782">
        <f t="shared" si="2"/>
        <v>0</v>
      </c>
      <c r="J50" s="304"/>
      <c r="K50" s="783"/>
      <c r="L50" s="782">
        <f t="shared" si="3"/>
        <v>0</v>
      </c>
      <c r="M50" s="304"/>
      <c r="N50" s="782"/>
    </row>
    <row r="51" spans="1:14" s="266" customFormat="1" ht="12" hidden="1">
      <c r="A51" s="1238"/>
      <c r="B51" s="1393"/>
      <c r="C51" s="1258"/>
      <c r="D51" s="1258"/>
      <c r="E51" s="1258"/>
      <c r="F51" s="1393"/>
      <c r="G51" s="1414"/>
      <c r="H51" s="1414"/>
      <c r="I51" s="781">
        <f t="shared" si="2"/>
        <v>0</v>
      </c>
      <c r="J51" s="302"/>
      <c r="K51" s="785"/>
      <c r="L51" s="781">
        <f t="shared" si="3"/>
        <v>0</v>
      </c>
      <c r="M51" s="302"/>
      <c r="N51" s="781"/>
    </row>
    <row r="52" spans="1:14" s="266" customFormat="1" ht="12" hidden="1">
      <c r="A52" s="1237">
        <v>23</v>
      </c>
      <c r="B52" s="1394"/>
      <c r="C52" s="1401"/>
      <c r="D52" s="1401"/>
      <c r="E52" s="1401"/>
      <c r="F52" s="1404">
        <f>G52+H52</f>
        <v>0</v>
      </c>
      <c r="G52" s="1404"/>
      <c r="H52" s="1404"/>
      <c r="I52" s="780">
        <f t="shared" si="2"/>
        <v>0</v>
      </c>
      <c r="J52" s="782"/>
      <c r="K52" s="782"/>
      <c r="L52" s="780">
        <f t="shared" si="3"/>
        <v>0</v>
      </c>
      <c r="M52" s="782"/>
      <c r="N52" s="782"/>
    </row>
    <row r="53" spans="1:14" s="266" customFormat="1" ht="12" hidden="1">
      <c r="A53" s="1238"/>
      <c r="B53" s="1393"/>
      <c r="C53" s="1258"/>
      <c r="D53" s="1258"/>
      <c r="E53" s="1258"/>
      <c r="F53" s="1414"/>
      <c r="G53" s="1414"/>
      <c r="H53" s="1414"/>
      <c r="I53" s="780">
        <f t="shared" si="2"/>
        <v>0</v>
      </c>
      <c r="J53" s="781"/>
      <c r="K53" s="781"/>
      <c r="L53" s="780">
        <f t="shared" si="3"/>
        <v>0</v>
      </c>
      <c r="M53" s="781"/>
      <c r="N53" s="781"/>
    </row>
    <row r="54" spans="1:14" s="266" customFormat="1" ht="22.5" customHeight="1" hidden="1">
      <c r="A54" s="1237">
        <v>24</v>
      </c>
      <c r="B54" s="1394"/>
      <c r="C54" s="1401"/>
      <c r="D54" s="1650"/>
      <c r="E54" s="1401"/>
      <c r="F54" s="1394">
        <f>G54+H54</f>
        <v>0</v>
      </c>
      <c r="G54" s="1404"/>
      <c r="H54" s="1404"/>
      <c r="I54" s="782">
        <f t="shared" si="2"/>
        <v>0</v>
      </c>
      <c r="J54" s="777"/>
      <c r="K54" s="784"/>
      <c r="L54" s="782">
        <f t="shared" si="3"/>
        <v>0</v>
      </c>
      <c r="M54" s="777"/>
      <c r="N54" s="780"/>
    </row>
    <row r="55" spans="1:14" s="266" customFormat="1" ht="13.5" customHeight="1" hidden="1">
      <c r="A55" s="1307"/>
      <c r="B55" s="1393"/>
      <c r="C55" s="1258"/>
      <c r="D55" s="1648"/>
      <c r="E55" s="1258"/>
      <c r="F55" s="1393"/>
      <c r="G55" s="1414"/>
      <c r="H55" s="1414"/>
      <c r="I55" s="781">
        <f t="shared" si="2"/>
        <v>0</v>
      </c>
      <c r="J55" s="777"/>
      <c r="K55" s="784"/>
      <c r="L55" s="781">
        <f t="shared" si="3"/>
        <v>0</v>
      </c>
      <c r="M55" s="777"/>
      <c r="N55" s="780"/>
    </row>
    <row r="56" spans="1:14" s="272" customFormat="1" ht="12">
      <c r="A56" s="1814"/>
      <c r="B56" s="270"/>
      <c r="C56" s="1265" t="s">
        <v>229</v>
      </c>
      <c r="D56" s="1265" t="s">
        <v>274</v>
      </c>
      <c r="E56" s="1265"/>
      <c r="F56" s="1326">
        <f aca="true" t="shared" si="4" ref="F56:K56">F16+F18+F14+F20+F22+F24+F26+F28+F30+F32+F34+F36+F8+F10+F12+F38+F40+F42+F44+F46+F48+F50+F52+F54</f>
        <v>213.315</v>
      </c>
      <c r="G56" s="1326">
        <f t="shared" si="4"/>
        <v>128.221</v>
      </c>
      <c r="H56" s="1326">
        <f t="shared" si="4"/>
        <v>85.094</v>
      </c>
      <c r="I56" s="271">
        <f t="shared" si="4"/>
        <v>6</v>
      </c>
      <c r="J56" s="271">
        <f t="shared" si="4"/>
        <v>5</v>
      </c>
      <c r="K56" s="271">
        <f t="shared" si="4"/>
        <v>1</v>
      </c>
      <c r="L56" s="271">
        <f>L16+L18+L14+L20+L22+L24+L26+L28+L30+L32+L34+L36+L8+L10+L12+L38+L40</f>
        <v>159</v>
      </c>
      <c r="M56" s="271">
        <f>M16+M18+M14+M20+M22+M24+M26+M28+M30+M32+M34+M36+M8+M10+M12+M38+M40</f>
        <v>126</v>
      </c>
      <c r="N56" s="299">
        <f>N16+N18+N14+N20+N22+N24+N26+N28+N30+N32+N34+N36+N8+N10+N12+N38+N40</f>
        <v>33</v>
      </c>
    </row>
    <row r="57" spans="1:14" s="2" customFormat="1" ht="12.75" thickBot="1">
      <c r="A57" s="1271"/>
      <c r="B57" s="273"/>
      <c r="C57" s="1253"/>
      <c r="D57" s="1253"/>
      <c r="E57" s="1253"/>
      <c r="F57" s="1255"/>
      <c r="G57" s="1255"/>
      <c r="H57" s="1255"/>
      <c r="I57" s="791">
        <f>I17+I19+I15+I21+I23+I25+I27+I29+I31+I33+I35+I37+I9+I11+I13+I39+I41+I43+I45+I47+I49+I51+I53+I55</f>
        <v>684.83</v>
      </c>
      <c r="J57" s="791">
        <f>J17+J19+J15+J21+J23+J25+J27+J29+J31+J33+J35+J37+J9+J11+J13+J39+J41+J43+J45+J47+J49+J51+J53+J55</f>
        <v>305.33</v>
      </c>
      <c r="K57" s="791">
        <f>K17+K19+K15+K21+K23+K25+K27+K29+K31+K33+K35+K37+K9+K11+K13+K39+K41+K43+K45+K47+K49+K51+K53+K55</f>
        <v>379.5</v>
      </c>
      <c r="L57" s="790">
        <f>L17+L19+L15+L21+L23+L25+L27+L29+L31+L33+L35+L37+L9+L11+L13+L39+L41+L43+L45+L47+L49+L51+L53+L55</f>
        <v>2951</v>
      </c>
      <c r="M57" s="790">
        <f>M17+M19+M15+M21+M23+M25+M27+M29+M31+M35+M37+M9+M11+M13</f>
        <v>2493</v>
      </c>
      <c r="N57" s="790">
        <f>N17+N19+N15+N21+N23+N25+N27+N29+N31+N33+N35+N37+N9+N11+N13+N39+N41</f>
        <v>458</v>
      </c>
    </row>
    <row r="58" spans="1:8" ht="12.75" hidden="1">
      <c r="A58" s="151"/>
      <c r="B58" s="153"/>
      <c r="C58" s="1150" t="s">
        <v>454</v>
      </c>
      <c r="D58" s="161" t="s">
        <v>450</v>
      </c>
      <c r="E58" s="162"/>
      <c r="F58" s="163">
        <f>SUMIF($D$16:$D$55,"=I",F16:F55)</f>
        <v>0</v>
      </c>
      <c r="G58" s="163">
        <f>SUMIF($D$16:$D$55,"=I",G16:G55)</f>
        <v>0</v>
      </c>
      <c r="H58" s="163">
        <f>SUMIF($D$16:$D$55,"=I",H16:H55)</f>
        <v>0</v>
      </c>
    </row>
    <row r="59" spans="1:8" ht="12.75" hidden="1">
      <c r="A59" s="151"/>
      <c r="B59" s="153"/>
      <c r="C59" s="1151"/>
      <c r="D59" s="69" t="s">
        <v>100</v>
      </c>
      <c r="E59" s="63"/>
      <c r="F59" s="64">
        <f>SUMIF($D$16:$D$55,"=II",F16:F55)</f>
        <v>0</v>
      </c>
      <c r="G59" s="64">
        <f>SUMIF($D$16:$D$55,"=II",G16:G55)</f>
        <v>0</v>
      </c>
      <c r="H59" s="64">
        <f>SUMIF($D$16:$D$55,"=II",H16:H55)</f>
        <v>0</v>
      </c>
    </row>
    <row r="60" spans="1:8" ht="12.75">
      <c r="A60" s="151"/>
      <c r="B60" s="153"/>
      <c r="C60" s="1151"/>
      <c r="D60" s="68" t="s">
        <v>102</v>
      </c>
      <c r="E60" s="63"/>
      <c r="F60" s="64">
        <f>SUMIF($D$8:$D$55,"=III",F8:F55)</f>
        <v>11.931000000000001</v>
      </c>
      <c r="G60" s="64">
        <f>SUMIF($D$8:$D$55,"=III",G8:G55)</f>
        <v>11.931000000000001</v>
      </c>
      <c r="H60" s="64">
        <f>SUMIF($D$8:$D$55,"=III",H8:H55)</f>
        <v>0</v>
      </c>
    </row>
    <row r="61" spans="1:8" ht="12.75">
      <c r="A61" s="151"/>
      <c r="B61" s="153"/>
      <c r="C61" s="1151"/>
      <c r="D61" s="70" t="s">
        <v>27</v>
      </c>
      <c r="E61" s="67"/>
      <c r="F61" s="64">
        <f>SUMIF($D$8:$D$55,"=IV",F8:F55)</f>
        <v>181.415</v>
      </c>
      <c r="G61" s="64">
        <f>SUMIF($D$8:$D$55,"=IV",G8:G55)</f>
        <v>116.28999999999999</v>
      </c>
      <c r="H61" s="64">
        <f>SUMIF($D$8:$D$55,"=IV",H8:H55)</f>
        <v>65.125</v>
      </c>
    </row>
    <row r="62" spans="1:8" ht="12.75">
      <c r="A62" s="152"/>
      <c r="B62" s="154"/>
      <c r="C62" s="1151"/>
      <c r="D62" s="70" t="s">
        <v>49</v>
      </c>
      <c r="E62" s="64"/>
      <c r="F62" s="101">
        <f>SUMIF($D$8:$D$55,"=V",F8:F55)</f>
        <v>19.969</v>
      </c>
      <c r="G62" s="101">
        <f>SUMIF($D$8:$D$55,"=V",G8:G55)</f>
        <v>0</v>
      </c>
      <c r="H62" s="101">
        <f>SUMIF($D$8:$D$55,"=V",H8:H55)</f>
        <v>19.969</v>
      </c>
    </row>
    <row r="63" spans="3:5" ht="12.75">
      <c r="C63" s="8"/>
      <c r="D63" s="8"/>
      <c r="E63" s="4"/>
    </row>
    <row r="64" spans="3:5" ht="12.75">
      <c r="C64" s="6"/>
      <c r="D64" s="6"/>
      <c r="E64" s="4"/>
    </row>
    <row r="65" spans="3:5" ht="12.75">
      <c r="C65" s="8"/>
      <c r="D65" s="8"/>
      <c r="E65" s="4"/>
    </row>
    <row r="66" spans="3:5" ht="12.75">
      <c r="C66" s="7"/>
      <c r="D66" s="7"/>
      <c r="E66" s="5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</sheetData>
  <sheetProtection/>
  <mergeCells count="218">
    <mergeCell ref="A24:A25"/>
    <mergeCell ref="C28:C29"/>
    <mergeCell ref="A26:A27"/>
    <mergeCell ref="B26:B27"/>
    <mergeCell ref="C26:C27"/>
    <mergeCell ref="F24:F25"/>
    <mergeCell ref="D24:D25"/>
    <mergeCell ref="E24:E25"/>
    <mergeCell ref="A28:A29"/>
    <mergeCell ref="E28:E29"/>
    <mergeCell ref="H10:H11"/>
    <mergeCell ref="D32:D33"/>
    <mergeCell ref="B28:B29"/>
    <mergeCell ref="F20:F21"/>
    <mergeCell ref="C22:C23"/>
    <mergeCell ref="C32:C33"/>
    <mergeCell ref="B34:B35"/>
    <mergeCell ref="A34:A35"/>
    <mergeCell ref="C34:C35"/>
    <mergeCell ref="D34:D35"/>
    <mergeCell ref="G30:G31"/>
    <mergeCell ref="F32:F33"/>
    <mergeCell ref="G32:G33"/>
    <mergeCell ref="D30:D31"/>
    <mergeCell ref="G18:G19"/>
    <mergeCell ref="G16:G17"/>
    <mergeCell ref="F18:F19"/>
    <mergeCell ref="F5:F7"/>
    <mergeCell ref="G10:G11"/>
    <mergeCell ref="F8:F9"/>
    <mergeCell ref="G12:G13"/>
    <mergeCell ref="F12:F13"/>
    <mergeCell ref="D5:D7"/>
    <mergeCell ref="E5:E7"/>
    <mergeCell ref="D14:D15"/>
    <mergeCell ref="E10:E11"/>
    <mergeCell ref="F10:F11"/>
    <mergeCell ref="G22:G23"/>
    <mergeCell ref="G6:G7"/>
    <mergeCell ref="E14:E15"/>
    <mergeCell ref="F14:F15"/>
    <mergeCell ref="G14:G15"/>
    <mergeCell ref="G24:G25"/>
    <mergeCell ref="F26:F27"/>
    <mergeCell ref="C16:C17"/>
    <mergeCell ref="D16:D17"/>
    <mergeCell ref="E18:E19"/>
    <mergeCell ref="E16:E17"/>
    <mergeCell ref="G20:G21"/>
    <mergeCell ref="E20:E21"/>
    <mergeCell ref="F22:F23"/>
    <mergeCell ref="G26:G27"/>
    <mergeCell ref="H34:H35"/>
    <mergeCell ref="E32:E33"/>
    <mergeCell ref="E30:E31"/>
    <mergeCell ref="D26:D27"/>
    <mergeCell ref="E26:E27"/>
    <mergeCell ref="F28:F29"/>
    <mergeCell ref="F30:F31"/>
    <mergeCell ref="E34:E35"/>
    <mergeCell ref="F34:F35"/>
    <mergeCell ref="G34:G35"/>
    <mergeCell ref="A1:N1"/>
    <mergeCell ref="A2:N2"/>
    <mergeCell ref="A3:N3"/>
    <mergeCell ref="A5:A7"/>
    <mergeCell ref="B5:B7"/>
    <mergeCell ref="A20:A21"/>
    <mergeCell ref="B20:B21"/>
    <mergeCell ref="C20:C21"/>
    <mergeCell ref="C5:C7"/>
    <mergeCell ref="F16:F17"/>
    <mergeCell ref="L6:L7"/>
    <mergeCell ref="J6:K6"/>
    <mergeCell ref="L5:N5"/>
    <mergeCell ref="M6:N6"/>
    <mergeCell ref="I6:I7"/>
    <mergeCell ref="H8:H9"/>
    <mergeCell ref="I5:K5"/>
    <mergeCell ref="G5:H5"/>
    <mergeCell ref="H6:H7"/>
    <mergeCell ref="G8:G9"/>
    <mergeCell ref="H18:H19"/>
    <mergeCell ref="H16:H17"/>
    <mergeCell ref="H14:H15"/>
    <mergeCell ref="H32:H33"/>
    <mergeCell ref="H30:H31"/>
    <mergeCell ref="H20:H21"/>
    <mergeCell ref="H22:H23"/>
    <mergeCell ref="H28:H29"/>
    <mergeCell ref="H24:H25"/>
    <mergeCell ref="H26:H27"/>
    <mergeCell ref="G28:G29"/>
    <mergeCell ref="A8:A9"/>
    <mergeCell ref="D8:D9"/>
    <mergeCell ref="E8:E9"/>
    <mergeCell ref="C8:C9"/>
    <mergeCell ref="A10:A11"/>
    <mergeCell ref="C10:C11"/>
    <mergeCell ref="D10:D11"/>
    <mergeCell ref="C14:C15"/>
    <mergeCell ref="A16:A17"/>
    <mergeCell ref="A14:A15"/>
    <mergeCell ref="E22:E23"/>
    <mergeCell ref="A22:A23"/>
    <mergeCell ref="D22:D23"/>
    <mergeCell ref="D18:D19"/>
    <mergeCell ref="B18:B19"/>
    <mergeCell ref="B22:B23"/>
    <mergeCell ref="B44:B45"/>
    <mergeCell ref="D36:D37"/>
    <mergeCell ref="D28:D29"/>
    <mergeCell ref="B10:B11"/>
    <mergeCell ref="C38:C39"/>
    <mergeCell ref="C42:C43"/>
    <mergeCell ref="D42:D43"/>
    <mergeCell ref="B42:B43"/>
    <mergeCell ref="B16:B17"/>
    <mergeCell ref="D20:D21"/>
    <mergeCell ref="C40:C41"/>
    <mergeCell ref="D40:D41"/>
    <mergeCell ref="B14:B15"/>
    <mergeCell ref="C18:C19"/>
    <mergeCell ref="B8:B9"/>
    <mergeCell ref="B36:B37"/>
    <mergeCell ref="C36:C37"/>
    <mergeCell ref="B24:B25"/>
    <mergeCell ref="C24:C25"/>
    <mergeCell ref="E38:E39"/>
    <mergeCell ref="F38:F39"/>
    <mergeCell ref="E12:E13"/>
    <mergeCell ref="C30:C31"/>
    <mergeCell ref="B32:B33"/>
    <mergeCell ref="B30:B31"/>
    <mergeCell ref="D12:D13"/>
    <mergeCell ref="E36:E37"/>
    <mergeCell ref="A38:A39"/>
    <mergeCell ref="B38:B39"/>
    <mergeCell ref="B12:B13"/>
    <mergeCell ref="C12:C13"/>
    <mergeCell ref="A12:A13"/>
    <mergeCell ref="D38:D39"/>
    <mergeCell ref="A30:A31"/>
    <mergeCell ref="A32:A33"/>
    <mergeCell ref="A18:A19"/>
    <mergeCell ref="A36:A37"/>
    <mergeCell ref="E44:E45"/>
    <mergeCell ref="A46:A47"/>
    <mergeCell ref="B46:B47"/>
    <mergeCell ref="A40:A41"/>
    <mergeCell ref="B40:B41"/>
    <mergeCell ref="A42:A43"/>
    <mergeCell ref="A44:A45"/>
    <mergeCell ref="C44:C45"/>
    <mergeCell ref="C46:C47"/>
    <mergeCell ref="E40:E41"/>
    <mergeCell ref="H42:H43"/>
    <mergeCell ref="E46:E47"/>
    <mergeCell ref="D46:D47"/>
    <mergeCell ref="G42:G43"/>
    <mergeCell ref="E42:E43"/>
    <mergeCell ref="D44:D45"/>
    <mergeCell ref="F46:F47"/>
    <mergeCell ref="G46:G47"/>
    <mergeCell ref="H46:H47"/>
    <mergeCell ref="F42:F43"/>
    <mergeCell ref="H48:H49"/>
    <mergeCell ref="F44:F45"/>
    <mergeCell ref="G44:G45"/>
    <mergeCell ref="H44:H45"/>
    <mergeCell ref="G48:G49"/>
    <mergeCell ref="F48:F49"/>
    <mergeCell ref="E48:E49"/>
    <mergeCell ref="C48:C49"/>
    <mergeCell ref="D48:D49"/>
    <mergeCell ref="B48:B49"/>
    <mergeCell ref="A50:A51"/>
    <mergeCell ref="B50:B51"/>
    <mergeCell ref="C50:C51"/>
    <mergeCell ref="A56:A57"/>
    <mergeCell ref="C56:C57"/>
    <mergeCell ref="B54:B55"/>
    <mergeCell ref="A52:A53"/>
    <mergeCell ref="B52:B53"/>
    <mergeCell ref="A48:A49"/>
    <mergeCell ref="D56:D57"/>
    <mergeCell ref="A54:A55"/>
    <mergeCell ref="H36:H37"/>
    <mergeCell ref="F36:F37"/>
    <mergeCell ref="G36:G37"/>
    <mergeCell ref="H40:H41"/>
    <mergeCell ref="F40:F41"/>
    <mergeCell ref="G40:G41"/>
    <mergeCell ref="G38:G39"/>
    <mergeCell ref="H38:H39"/>
    <mergeCell ref="H12:H13"/>
    <mergeCell ref="C58:C62"/>
    <mergeCell ref="C52:C53"/>
    <mergeCell ref="D52:D53"/>
    <mergeCell ref="C54:C55"/>
    <mergeCell ref="D54:D55"/>
    <mergeCell ref="E56:E57"/>
    <mergeCell ref="F52:F53"/>
    <mergeCell ref="E54:E55"/>
    <mergeCell ref="F50:F51"/>
    <mergeCell ref="H52:H53"/>
    <mergeCell ref="G52:G53"/>
    <mergeCell ref="D50:D51"/>
    <mergeCell ref="H50:H51"/>
    <mergeCell ref="E52:E53"/>
    <mergeCell ref="E50:E51"/>
    <mergeCell ref="G50:G51"/>
    <mergeCell ref="H56:H57"/>
    <mergeCell ref="F56:F57"/>
    <mergeCell ref="G56:G57"/>
    <mergeCell ref="F54:F55"/>
    <mergeCell ref="H54:H55"/>
    <mergeCell ref="G54:G55"/>
  </mergeCells>
  <printOptions/>
  <pageMargins left="0.5905511811023623" right="0.4330708661417323" top="0.5905511811023623" bottom="0.5118110236220472" header="0.5118110236220472" footer="0.5118110236220472"/>
  <pageSetup firstPageNumber="35" useFirstPageNumber="1" fitToHeight="0" fitToWidth="1" horizontalDpi="300" verticalDpi="300" orientation="landscape" paperSize="9" r:id="rId1"/>
  <headerFooter alignWithMargins="0">
    <oddFooter>&amp;CСтраница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view="pageBreakPreview" zoomScaleSheetLayoutView="100" zoomScalePageLayoutView="0" workbookViewId="0" topLeftCell="A1">
      <selection activeCell="O1" sqref="O1:Y16384"/>
    </sheetView>
  </sheetViews>
  <sheetFormatPr defaultColWidth="9.00390625" defaultRowHeight="12.75"/>
  <cols>
    <col min="1" max="1" width="4.25390625" style="0" customWidth="1"/>
    <col min="2" max="2" width="12.375" style="53" customWidth="1"/>
    <col min="3" max="3" width="36.375" style="0" customWidth="1"/>
    <col min="4" max="4" width="9.25390625" style="0" customWidth="1"/>
    <col min="5" max="5" width="11.125" style="0" customWidth="1"/>
    <col min="6" max="6" width="9.25390625" style="0" customWidth="1"/>
    <col min="7" max="7" width="10.00390625" style="0" bestFit="1" customWidth="1"/>
    <col min="8" max="8" width="7.625" style="0" customWidth="1"/>
    <col min="9" max="9" width="6.7539062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1236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1420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7"/>
      <c r="B7" s="1205"/>
      <c r="C7" s="1215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12">
      <c r="A8" s="1228">
        <v>1</v>
      </c>
      <c r="B8" s="1189" t="s">
        <v>1210</v>
      </c>
      <c r="C8" s="1191" t="s">
        <v>99</v>
      </c>
      <c r="D8" s="1195" t="s">
        <v>27</v>
      </c>
      <c r="E8" s="1193" t="s">
        <v>389</v>
      </c>
      <c r="F8" s="1189">
        <f>G8+H8</f>
        <v>50</v>
      </c>
      <c r="G8" s="1197">
        <v>50</v>
      </c>
      <c r="H8" s="1197">
        <v>0</v>
      </c>
      <c r="I8" s="502">
        <f aca="true" t="shared" si="0" ref="I8:I39">J8+K8</f>
        <v>4</v>
      </c>
      <c r="J8" s="503">
        <v>4</v>
      </c>
      <c r="K8" s="506">
        <v>0</v>
      </c>
      <c r="L8" s="502">
        <f aca="true" t="shared" si="1" ref="L8:L39">M8+N8</f>
        <v>48</v>
      </c>
      <c r="M8" s="503">
        <v>41</v>
      </c>
      <c r="N8" s="502">
        <v>7</v>
      </c>
    </row>
    <row r="9" spans="1:14" s="266" customFormat="1" ht="12.75" thickBot="1">
      <c r="A9" s="1229"/>
      <c r="B9" s="1190"/>
      <c r="C9" s="1192"/>
      <c r="D9" s="1196"/>
      <c r="E9" s="1194"/>
      <c r="F9" s="1190"/>
      <c r="G9" s="1198"/>
      <c r="H9" s="1198"/>
      <c r="I9" s="895">
        <f t="shared" si="0"/>
        <v>36.44</v>
      </c>
      <c r="J9" s="505">
        <v>36.44</v>
      </c>
      <c r="K9" s="953">
        <v>0</v>
      </c>
      <c r="L9" s="891">
        <f t="shared" si="1"/>
        <v>810</v>
      </c>
      <c r="M9" s="589">
        <v>718</v>
      </c>
      <c r="N9" s="891">
        <v>92</v>
      </c>
    </row>
    <row r="10" spans="1:14" s="266" customFormat="1" ht="12">
      <c r="A10" s="1167">
        <v>2</v>
      </c>
      <c r="B10" s="1169" t="s">
        <v>1078</v>
      </c>
      <c r="C10" s="1182" t="s">
        <v>335</v>
      </c>
      <c r="D10" s="1173" t="s">
        <v>27</v>
      </c>
      <c r="E10" s="1676" t="s">
        <v>1489</v>
      </c>
      <c r="F10" s="1169">
        <f>G10+H10</f>
        <v>27.895</v>
      </c>
      <c r="G10" s="1184">
        <v>4</v>
      </c>
      <c r="H10" s="1184">
        <v>23.895</v>
      </c>
      <c r="I10" s="644">
        <f t="shared" si="0"/>
        <v>1</v>
      </c>
      <c r="J10" s="645">
        <v>1</v>
      </c>
      <c r="K10" s="648">
        <v>0</v>
      </c>
      <c r="L10" s="644">
        <f t="shared" si="1"/>
        <v>21</v>
      </c>
      <c r="M10" s="645">
        <v>8</v>
      </c>
      <c r="N10" s="644">
        <v>13</v>
      </c>
    </row>
    <row r="11" spans="1:14" s="266" customFormat="1" ht="12.75" thickBot="1">
      <c r="A11" s="1168"/>
      <c r="B11" s="1170"/>
      <c r="C11" s="1183"/>
      <c r="D11" s="1174"/>
      <c r="E11" s="1677"/>
      <c r="F11" s="1170"/>
      <c r="G11" s="1185"/>
      <c r="H11" s="1185"/>
      <c r="I11" s="885">
        <f t="shared" si="0"/>
        <v>42.2</v>
      </c>
      <c r="J11" s="650">
        <v>42.2</v>
      </c>
      <c r="K11" s="611">
        <v>0</v>
      </c>
      <c r="L11" s="883">
        <f t="shared" si="1"/>
        <v>271</v>
      </c>
      <c r="M11" s="990">
        <v>122</v>
      </c>
      <c r="N11" s="883">
        <v>149</v>
      </c>
    </row>
    <row r="12" spans="1:14" s="266" customFormat="1" ht="12">
      <c r="A12" s="1167">
        <v>3</v>
      </c>
      <c r="B12" s="1169" t="s">
        <v>1079</v>
      </c>
      <c r="C12" s="1182" t="s">
        <v>473</v>
      </c>
      <c r="D12" s="1173" t="s">
        <v>27</v>
      </c>
      <c r="E12" s="1173" t="s">
        <v>1484</v>
      </c>
      <c r="F12" s="1169">
        <f>G12+H12</f>
        <v>17.603</v>
      </c>
      <c r="G12" s="1184">
        <v>17.603</v>
      </c>
      <c r="H12" s="1178">
        <v>0</v>
      </c>
      <c r="I12" s="644">
        <f t="shared" si="0"/>
        <v>0</v>
      </c>
      <c r="J12" s="648">
        <v>0</v>
      </c>
      <c r="K12" s="646">
        <v>0</v>
      </c>
      <c r="L12" s="644">
        <f t="shared" si="1"/>
        <v>19</v>
      </c>
      <c r="M12" s="648">
        <v>15</v>
      </c>
      <c r="N12" s="644">
        <v>4</v>
      </c>
    </row>
    <row r="13" spans="1:14" s="266" customFormat="1" ht="12.75" thickBot="1">
      <c r="A13" s="1168"/>
      <c r="B13" s="1170"/>
      <c r="C13" s="1183"/>
      <c r="D13" s="1174"/>
      <c r="E13" s="1174"/>
      <c r="F13" s="1170"/>
      <c r="G13" s="1185"/>
      <c r="H13" s="1179"/>
      <c r="I13" s="883">
        <f t="shared" si="0"/>
        <v>0</v>
      </c>
      <c r="J13" s="611">
        <v>0</v>
      </c>
      <c r="K13" s="915">
        <v>0</v>
      </c>
      <c r="L13" s="883">
        <f t="shared" si="1"/>
        <v>257</v>
      </c>
      <c r="M13" s="611">
        <v>211</v>
      </c>
      <c r="N13" s="883">
        <v>46</v>
      </c>
    </row>
    <row r="14" spans="1:14" s="266" customFormat="1" ht="12">
      <c r="A14" s="1167">
        <v>4</v>
      </c>
      <c r="B14" s="1169" t="s">
        <v>1080</v>
      </c>
      <c r="C14" s="1182" t="s">
        <v>336</v>
      </c>
      <c r="D14" s="1173" t="s">
        <v>27</v>
      </c>
      <c r="E14" s="1169" t="s">
        <v>1458</v>
      </c>
      <c r="F14" s="1169">
        <f>G14+H14</f>
        <v>12.045</v>
      </c>
      <c r="G14" s="1178">
        <v>0</v>
      </c>
      <c r="H14" s="1184">
        <v>12.045</v>
      </c>
      <c r="I14" s="644">
        <f t="shared" si="0"/>
        <v>0</v>
      </c>
      <c r="J14" s="645">
        <v>0</v>
      </c>
      <c r="K14" s="646">
        <v>0</v>
      </c>
      <c r="L14" s="644">
        <f t="shared" si="1"/>
        <v>1</v>
      </c>
      <c r="M14" s="645">
        <v>1</v>
      </c>
      <c r="N14" s="644">
        <v>0</v>
      </c>
    </row>
    <row r="15" spans="1:14" s="266" customFormat="1" ht="12.75" thickBot="1">
      <c r="A15" s="1168"/>
      <c r="B15" s="1170"/>
      <c r="C15" s="1183"/>
      <c r="D15" s="1174"/>
      <c r="E15" s="1170"/>
      <c r="F15" s="1170"/>
      <c r="G15" s="1179"/>
      <c r="H15" s="1185"/>
      <c r="I15" s="883">
        <f t="shared" si="0"/>
        <v>0</v>
      </c>
      <c r="J15" s="990">
        <v>0</v>
      </c>
      <c r="K15" s="915">
        <v>0</v>
      </c>
      <c r="L15" s="883">
        <f t="shared" si="1"/>
        <v>16</v>
      </c>
      <c r="M15" s="990">
        <v>16</v>
      </c>
      <c r="N15" s="883">
        <v>0</v>
      </c>
    </row>
    <row r="16" spans="1:14" s="266" customFormat="1" ht="12">
      <c r="A16" s="1167">
        <v>5</v>
      </c>
      <c r="B16" s="1169" t="s">
        <v>1081</v>
      </c>
      <c r="C16" s="1182" t="s">
        <v>337</v>
      </c>
      <c r="D16" s="1173" t="s">
        <v>49</v>
      </c>
      <c r="E16" s="1180" t="s">
        <v>1459</v>
      </c>
      <c r="F16" s="1169">
        <f>G16+H16</f>
        <v>4.633</v>
      </c>
      <c r="G16" s="1184">
        <v>4.633</v>
      </c>
      <c r="H16" s="1178">
        <v>0</v>
      </c>
      <c r="I16" s="644">
        <f t="shared" si="0"/>
        <v>0</v>
      </c>
      <c r="J16" s="645">
        <v>0</v>
      </c>
      <c r="K16" s="648">
        <v>0</v>
      </c>
      <c r="L16" s="644">
        <f t="shared" si="1"/>
        <v>3</v>
      </c>
      <c r="M16" s="645">
        <v>3</v>
      </c>
      <c r="N16" s="644">
        <v>0</v>
      </c>
    </row>
    <row r="17" spans="1:14" s="266" customFormat="1" ht="12.75" thickBot="1">
      <c r="A17" s="1168"/>
      <c r="B17" s="1170"/>
      <c r="C17" s="1183"/>
      <c r="D17" s="1174"/>
      <c r="E17" s="1181"/>
      <c r="F17" s="1170"/>
      <c r="G17" s="1185"/>
      <c r="H17" s="1179"/>
      <c r="I17" s="883">
        <f t="shared" si="0"/>
        <v>0</v>
      </c>
      <c r="J17" s="990">
        <v>0</v>
      </c>
      <c r="K17" s="611">
        <v>0</v>
      </c>
      <c r="L17" s="883">
        <f t="shared" si="1"/>
        <v>40</v>
      </c>
      <c r="M17" s="990">
        <v>40</v>
      </c>
      <c r="N17" s="883">
        <v>0</v>
      </c>
    </row>
    <row r="18" spans="1:14" s="266" customFormat="1" ht="12">
      <c r="A18" s="1167">
        <v>6</v>
      </c>
      <c r="B18" s="1169" t="s">
        <v>1082</v>
      </c>
      <c r="C18" s="1182" t="s">
        <v>338</v>
      </c>
      <c r="D18" s="1173" t="s">
        <v>27</v>
      </c>
      <c r="E18" s="1180" t="s">
        <v>1176</v>
      </c>
      <c r="F18" s="1169">
        <f>G18+H18</f>
        <v>0.945</v>
      </c>
      <c r="G18" s="1184">
        <v>0.945</v>
      </c>
      <c r="H18" s="1178">
        <v>0</v>
      </c>
      <c r="I18" s="644">
        <f t="shared" si="0"/>
        <v>0</v>
      </c>
      <c r="J18" s="648">
        <v>0</v>
      </c>
      <c r="K18" s="646">
        <v>0</v>
      </c>
      <c r="L18" s="644">
        <f t="shared" si="1"/>
        <v>0</v>
      </c>
      <c r="M18" s="648">
        <v>0</v>
      </c>
      <c r="N18" s="644">
        <v>0</v>
      </c>
    </row>
    <row r="19" spans="1:14" s="266" customFormat="1" ht="12.75" thickBot="1">
      <c r="A19" s="1168"/>
      <c r="B19" s="1170"/>
      <c r="C19" s="1183"/>
      <c r="D19" s="1174"/>
      <c r="E19" s="1181"/>
      <c r="F19" s="1170"/>
      <c r="G19" s="1185"/>
      <c r="H19" s="1179"/>
      <c r="I19" s="883">
        <f t="shared" si="0"/>
        <v>0</v>
      </c>
      <c r="J19" s="611">
        <v>0</v>
      </c>
      <c r="K19" s="915">
        <v>0</v>
      </c>
      <c r="L19" s="883">
        <f t="shared" si="1"/>
        <v>0</v>
      </c>
      <c r="M19" s="611">
        <v>0</v>
      </c>
      <c r="N19" s="883">
        <v>0</v>
      </c>
    </row>
    <row r="20" spans="1:14" s="266" customFormat="1" ht="12">
      <c r="A20" s="1167">
        <v>7</v>
      </c>
      <c r="B20" s="1169" t="s">
        <v>1083</v>
      </c>
      <c r="C20" s="1182" t="s">
        <v>340</v>
      </c>
      <c r="D20" s="1173" t="s">
        <v>27</v>
      </c>
      <c r="E20" s="1169" t="s">
        <v>1490</v>
      </c>
      <c r="F20" s="1169">
        <f>G20+H20</f>
        <v>0.624</v>
      </c>
      <c r="G20" s="1184">
        <v>0.624</v>
      </c>
      <c r="H20" s="1178">
        <v>0</v>
      </c>
      <c r="I20" s="644">
        <f t="shared" si="0"/>
        <v>0</v>
      </c>
      <c r="J20" s="645">
        <v>0</v>
      </c>
      <c r="K20" s="646">
        <v>0</v>
      </c>
      <c r="L20" s="644">
        <f t="shared" si="1"/>
        <v>1</v>
      </c>
      <c r="M20" s="645">
        <v>1</v>
      </c>
      <c r="N20" s="644">
        <v>0</v>
      </c>
    </row>
    <row r="21" spans="1:14" s="266" customFormat="1" ht="12.75" thickBot="1">
      <c r="A21" s="1168"/>
      <c r="B21" s="1170"/>
      <c r="C21" s="1183"/>
      <c r="D21" s="1174"/>
      <c r="E21" s="1170"/>
      <c r="F21" s="1170"/>
      <c r="G21" s="1185"/>
      <c r="H21" s="1179"/>
      <c r="I21" s="883">
        <f t="shared" si="0"/>
        <v>0</v>
      </c>
      <c r="J21" s="990">
        <v>0</v>
      </c>
      <c r="K21" s="915">
        <v>0</v>
      </c>
      <c r="L21" s="883">
        <f t="shared" si="1"/>
        <v>18</v>
      </c>
      <c r="M21" s="990">
        <v>18</v>
      </c>
      <c r="N21" s="883">
        <v>0</v>
      </c>
    </row>
    <row r="22" spans="1:14" s="266" customFormat="1" ht="12">
      <c r="A22" s="1167">
        <v>8</v>
      </c>
      <c r="B22" s="1169" t="s">
        <v>1084</v>
      </c>
      <c r="C22" s="1182" t="s">
        <v>341</v>
      </c>
      <c r="D22" s="1173" t="s">
        <v>27</v>
      </c>
      <c r="E22" s="1173" t="s">
        <v>1460</v>
      </c>
      <c r="F22" s="1184">
        <f>G22+H22</f>
        <v>7.105</v>
      </c>
      <c r="G22" s="1184">
        <v>7.105</v>
      </c>
      <c r="H22" s="1178">
        <v>0</v>
      </c>
      <c r="I22" s="644">
        <f t="shared" si="0"/>
        <v>0</v>
      </c>
      <c r="J22" s="648">
        <v>0</v>
      </c>
      <c r="K22" s="646">
        <v>0</v>
      </c>
      <c r="L22" s="644">
        <f t="shared" si="1"/>
        <v>2</v>
      </c>
      <c r="M22" s="648">
        <v>0</v>
      </c>
      <c r="N22" s="644">
        <v>2</v>
      </c>
    </row>
    <row r="23" spans="1:14" s="266" customFormat="1" ht="12.75" thickBot="1">
      <c r="A23" s="1168"/>
      <c r="B23" s="1170"/>
      <c r="C23" s="1183"/>
      <c r="D23" s="1174"/>
      <c r="E23" s="1174"/>
      <c r="F23" s="1185"/>
      <c r="G23" s="1185"/>
      <c r="H23" s="1179"/>
      <c r="I23" s="883">
        <f t="shared" si="0"/>
        <v>0</v>
      </c>
      <c r="J23" s="611">
        <v>0</v>
      </c>
      <c r="K23" s="915">
        <v>0</v>
      </c>
      <c r="L23" s="883">
        <f t="shared" si="1"/>
        <v>24</v>
      </c>
      <c r="M23" s="611">
        <v>0</v>
      </c>
      <c r="N23" s="883">
        <v>24</v>
      </c>
    </row>
    <row r="24" spans="1:14" s="266" customFormat="1" ht="12">
      <c r="A24" s="1167">
        <v>9</v>
      </c>
      <c r="B24" s="1169" t="s">
        <v>1085</v>
      </c>
      <c r="C24" s="1182" t="s">
        <v>497</v>
      </c>
      <c r="D24" s="1173" t="s">
        <v>27</v>
      </c>
      <c r="E24" s="1169" t="s">
        <v>1461</v>
      </c>
      <c r="F24" s="1169">
        <f>G24+H24</f>
        <v>4.861</v>
      </c>
      <c r="G24" s="1184">
        <v>4.861</v>
      </c>
      <c r="H24" s="1178">
        <v>0</v>
      </c>
      <c r="I24" s="644">
        <f t="shared" si="0"/>
        <v>1</v>
      </c>
      <c r="J24" s="645">
        <v>1</v>
      </c>
      <c r="K24" s="646">
        <v>0</v>
      </c>
      <c r="L24" s="644">
        <f t="shared" si="1"/>
        <v>3</v>
      </c>
      <c r="M24" s="645">
        <v>2</v>
      </c>
      <c r="N24" s="644">
        <v>1</v>
      </c>
    </row>
    <row r="25" spans="1:14" s="266" customFormat="1" ht="12.75" thickBot="1">
      <c r="A25" s="1168"/>
      <c r="B25" s="1170"/>
      <c r="C25" s="1183"/>
      <c r="D25" s="1174"/>
      <c r="E25" s="1170"/>
      <c r="F25" s="1170"/>
      <c r="G25" s="1185"/>
      <c r="H25" s="1179"/>
      <c r="I25" s="885">
        <f t="shared" si="0"/>
        <v>60.7</v>
      </c>
      <c r="J25" s="650">
        <v>60.7</v>
      </c>
      <c r="K25" s="915">
        <v>0</v>
      </c>
      <c r="L25" s="883">
        <f t="shared" si="1"/>
        <v>43</v>
      </c>
      <c r="M25" s="990">
        <v>30</v>
      </c>
      <c r="N25" s="883">
        <v>13</v>
      </c>
    </row>
    <row r="26" spans="1:14" s="266" customFormat="1" ht="12">
      <c r="A26" s="1167">
        <v>10</v>
      </c>
      <c r="B26" s="1169" t="s">
        <v>1086</v>
      </c>
      <c r="C26" s="1182" t="s">
        <v>342</v>
      </c>
      <c r="D26" s="1173" t="s">
        <v>27</v>
      </c>
      <c r="E26" s="1169" t="s">
        <v>1462</v>
      </c>
      <c r="F26" s="1169">
        <f>G26+H26</f>
        <v>1.572</v>
      </c>
      <c r="G26" s="1184">
        <v>1.572</v>
      </c>
      <c r="H26" s="1178">
        <v>0</v>
      </c>
      <c r="I26" s="644">
        <f t="shared" si="0"/>
        <v>0</v>
      </c>
      <c r="J26" s="645">
        <v>0</v>
      </c>
      <c r="K26" s="646">
        <v>0</v>
      </c>
      <c r="L26" s="644">
        <f t="shared" si="1"/>
        <v>1</v>
      </c>
      <c r="M26" s="645">
        <v>0</v>
      </c>
      <c r="N26" s="644">
        <v>1</v>
      </c>
    </row>
    <row r="27" spans="1:14" s="266" customFormat="1" ht="12.75" thickBot="1">
      <c r="A27" s="1168"/>
      <c r="B27" s="1170"/>
      <c r="C27" s="1183"/>
      <c r="D27" s="1174"/>
      <c r="E27" s="1170"/>
      <c r="F27" s="1170"/>
      <c r="G27" s="1185"/>
      <c r="H27" s="1179"/>
      <c r="I27" s="883">
        <f t="shared" si="0"/>
        <v>0</v>
      </c>
      <c r="J27" s="990"/>
      <c r="K27" s="915">
        <v>0</v>
      </c>
      <c r="L27" s="883">
        <f t="shared" si="1"/>
        <v>24</v>
      </c>
      <c r="M27" s="990">
        <v>0</v>
      </c>
      <c r="N27" s="883">
        <v>24</v>
      </c>
    </row>
    <row r="28" spans="1:14" s="266" customFormat="1" ht="12">
      <c r="A28" s="1167">
        <v>11</v>
      </c>
      <c r="B28" s="1169" t="s">
        <v>1087</v>
      </c>
      <c r="C28" s="1232" t="s">
        <v>343</v>
      </c>
      <c r="D28" s="1173" t="s">
        <v>27</v>
      </c>
      <c r="E28" s="1169" t="s">
        <v>1175</v>
      </c>
      <c r="F28" s="1169">
        <f>G28+H28</f>
        <v>0.298</v>
      </c>
      <c r="G28" s="1184">
        <v>0.298</v>
      </c>
      <c r="H28" s="1178">
        <v>0</v>
      </c>
      <c r="I28" s="644">
        <f t="shared" si="0"/>
        <v>0</v>
      </c>
      <c r="J28" s="645">
        <v>0</v>
      </c>
      <c r="K28" s="646">
        <v>0</v>
      </c>
      <c r="L28" s="644">
        <f t="shared" si="1"/>
        <v>1</v>
      </c>
      <c r="M28" s="645">
        <v>1</v>
      </c>
      <c r="N28" s="644">
        <v>0</v>
      </c>
    </row>
    <row r="29" spans="1:14" s="266" customFormat="1" ht="12.75" thickBot="1">
      <c r="A29" s="1168"/>
      <c r="B29" s="1170"/>
      <c r="C29" s="1233"/>
      <c r="D29" s="1174"/>
      <c r="E29" s="1170"/>
      <c r="F29" s="1170"/>
      <c r="G29" s="1185"/>
      <c r="H29" s="1179"/>
      <c r="I29" s="883">
        <f t="shared" si="0"/>
        <v>0</v>
      </c>
      <c r="J29" s="990">
        <v>0</v>
      </c>
      <c r="K29" s="915">
        <v>0</v>
      </c>
      <c r="L29" s="883">
        <f t="shared" si="1"/>
        <v>15</v>
      </c>
      <c r="M29" s="990">
        <v>15</v>
      </c>
      <c r="N29" s="883">
        <v>0</v>
      </c>
    </row>
    <row r="30" spans="1:14" s="266" customFormat="1" ht="12">
      <c r="A30" s="1167">
        <v>12</v>
      </c>
      <c r="B30" s="1169" t="s">
        <v>1088</v>
      </c>
      <c r="C30" s="1182" t="s">
        <v>344</v>
      </c>
      <c r="D30" s="1173" t="s">
        <v>27</v>
      </c>
      <c r="E30" s="1169" t="s">
        <v>590</v>
      </c>
      <c r="F30" s="1169">
        <f>G30+H30</f>
        <v>5.4239999999999995</v>
      </c>
      <c r="G30" s="1184">
        <v>3.901</v>
      </c>
      <c r="H30" s="1184">
        <v>1.523</v>
      </c>
      <c r="I30" s="644">
        <f t="shared" si="0"/>
        <v>0</v>
      </c>
      <c r="J30" s="645">
        <v>0</v>
      </c>
      <c r="K30" s="646">
        <v>0</v>
      </c>
      <c r="L30" s="644">
        <f t="shared" si="1"/>
        <v>4</v>
      </c>
      <c r="M30" s="645">
        <v>2</v>
      </c>
      <c r="N30" s="644">
        <v>2</v>
      </c>
    </row>
    <row r="31" spans="1:14" s="266" customFormat="1" ht="12.75" thickBot="1">
      <c r="A31" s="1168"/>
      <c r="B31" s="1170"/>
      <c r="C31" s="1183"/>
      <c r="D31" s="1174"/>
      <c r="E31" s="1170"/>
      <c r="F31" s="1170"/>
      <c r="G31" s="1185"/>
      <c r="H31" s="1185"/>
      <c r="I31" s="883">
        <f t="shared" si="0"/>
        <v>0</v>
      </c>
      <c r="J31" s="990">
        <v>0</v>
      </c>
      <c r="K31" s="915">
        <v>0</v>
      </c>
      <c r="L31" s="883">
        <f t="shared" si="1"/>
        <v>54</v>
      </c>
      <c r="M31" s="990">
        <v>28</v>
      </c>
      <c r="N31" s="883">
        <v>26</v>
      </c>
    </row>
    <row r="32" spans="1:14" s="266" customFormat="1" ht="12">
      <c r="A32" s="1167">
        <v>13</v>
      </c>
      <c r="B32" s="1169" t="s">
        <v>1089</v>
      </c>
      <c r="C32" s="1182" t="s">
        <v>489</v>
      </c>
      <c r="D32" s="1173" t="s">
        <v>27</v>
      </c>
      <c r="E32" s="1169" t="s">
        <v>734</v>
      </c>
      <c r="F32" s="1169">
        <f>G32+H32</f>
        <v>1.403</v>
      </c>
      <c r="G32" s="1184">
        <v>1.403</v>
      </c>
      <c r="H32" s="1178">
        <v>0</v>
      </c>
      <c r="I32" s="644">
        <f t="shared" si="0"/>
        <v>0</v>
      </c>
      <c r="J32" s="645">
        <v>0</v>
      </c>
      <c r="K32" s="646">
        <v>0</v>
      </c>
      <c r="L32" s="644">
        <f t="shared" si="1"/>
        <v>1</v>
      </c>
      <c r="M32" s="645">
        <v>0</v>
      </c>
      <c r="N32" s="644">
        <v>1</v>
      </c>
    </row>
    <row r="33" spans="1:14" s="266" customFormat="1" ht="12.75" thickBot="1">
      <c r="A33" s="1168"/>
      <c r="B33" s="1170"/>
      <c r="C33" s="1183"/>
      <c r="D33" s="1174"/>
      <c r="E33" s="1170"/>
      <c r="F33" s="1170"/>
      <c r="G33" s="1185"/>
      <c r="H33" s="1179"/>
      <c r="I33" s="883">
        <f t="shared" si="0"/>
        <v>0</v>
      </c>
      <c r="J33" s="990">
        <v>0</v>
      </c>
      <c r="K33" s="915">
        <v>0</v>
      </c>
      <c r="L33" s="883">
        <f t="shared" si="1"/>
        <v>20</v>
      </c>
      <c r="M33" s="990">
        <v>0</v>
      </c>
      <c r="N33" s="883">
        <v>20</v>
      </c>
    </row>
    <row r="34" spans="1:14" s="266" customFormat="1" ht="12">
      <c r="A34" s="1167">
        <v>14</v>
      </c>
      <c r="B34" s="1169" t="s">
        <v>1090</v>
      </c>
      <c r="C34" s="1182" t="s">
        <v>345</v>
      </c>
      <c r="D34" s="1173" t="s">
        <v>27</v>
      </c>
      <c r="E34" s="1173" t="s">
        <v>1176</v>
      </c>
      <c r="F34" s="1169">
        <f>G34+H34</f>
        <v>0.945</v>
      </c>
      <c r="G34" s="1184">
        <v>0.945</v>
      </c>
      <c r="H34" s="1178">
        <v>0</v>
      </c>
      <c r="I34" s="644">
        <f t="shared" si="0"/>
        <v>0</v>
      </c>
      <c r="J34" s="645">
        <v>0</v>
      </c>
      <c r="K34" s="646">
        <v>0</v>
      </c>
      <c r="L34" s="644">
        <f t="shared" si="1"/>
        <v>2</v>
      </c>
      <c r="M34" s="645">
        <v>1</v>
      </c>
      <c r="N34" s="644">
        <v>1</v>
      </c>
    </row>
    <row r="35" spans="1:14" s="266" customFormat="1" ht="12.75" thickBot="1">
      <c r="A35" s="1168"/>
      <c r="B35" s="1170"/>
      <c r="C35" s="1183"/>
      <c r="D35" s="1174"/>
      <c r="E35" s="1174"/>
      <c r="F35" s="1170"/>
      <c r="G35" s="1185"/>
      <c r="H35" s="1179"/>
      <c r="I35" s="883">
        <f t="shared" si="0"/>
        <v>0</v>
      </c>
      <c r="J35" s="990">
        <v>0</v>
      </c>
      <c r="K35" s="915">
        <v>0</v>
      </c>
      <c r="L35" s="883">
        <f t="shared" si="1"/>
        <v>33</v>
      </c>
      <c r="M35" s="990">
        <v>21</v>
      </c>
      <c r="N35" s="883">
        <v>12</v>
      </c>
    </row>
    <row r="36" spans="1:14" s="266" customFormat="1" ht="12">
      <c r="A36" s="1167">
        <v>15</v>
      </c>
      <c r="B36" s="1169" t="s">
        <v>1091</v>
      </c>
      <c r="C36" s="1182" t="s">
        <v>346</v>
      </c>
      <c r="D36" s="1173" t="s">
        <v>27</v>
      </c>
      <c r="E36" s="1173" t="s">
        <v>1177</v>
      </c>
      <c r="F36" s="1169">
        <f>G36+H36</f>
        <v>2.853</v>
      </c>
      <c r="G36" s="1184">
        <v>2.853</v>
      </c>
      <c r="H36" s="1178">
        <v>0</v>
      </c>
      <c r="I36" s="644">
        <f t="shared" si="0"/>
        <v>0</v>
      </c>
      <c r="J36" s="645">
        <v>0</v>
      </c>
      <c r="K36" s="646">
        <v>0</v>
      </c>
      <c r="L36" s="644">
        <f t="shared" si="1"/>
        <v>1</v>
      </c>
      <c r="M36" s="645">
        <v>1</v>
      </c>
      <c r="N36" s="644">
        <v>0</v>
      </c>
    </row>
    <row r="37" spans="1:14" s="266" customFormat="1" ht="12.75" thickBot="1">
      <c r="A37" s="1168"/>
      <c r="B37" s="1170"/>
      <c r="C37" s="1183"/>
      <c r="D37" s="1174"/>
      <c r="E37" s="1174"/>
      <c r="F37" s="1170"/>
      <c r="G37" s="1185"/>
      <c r="H37" s="1179"/>
      <c r="I37" s="883">
        <f t="shared" si="0"/>
        <v>0</v>
      </c>
      <c r="J37" s="990">
        <v>0</v>
      </c>
      <c r="K37" s="915">
        <v>0</v>
      </c>
      <c r="L37" s="883">
        <f t="shared" si="1"/>
        <v>15</v>
      </c>
      <c r="M37" s="990">
        <v>15</v>
      </c>
      <c r="N37" s="883">
        <v>0</v>
      </c>
    </row>
    <row r="38" spans="1:14" s="266" customFormat="1" ht="12">
      <c r="A38" s="1167">
        <v>16</v>
      </c>
      <c r="B38" s="1169" t="s">
        <v>1092</v>
      </c>
      <c r="C38" s="1182" t="s">
        <v>347</v>
      </c>
      <c r="D38" s="1173" t="s">
        <v>27</v>
      </c>
      <c r="E38" s="1173" t="s">
        <v>1178</v>
      </c>
      <c r="F38" s="1169">
        <f>G38+H38</f>
        <v>1.732</v>
      </c>
      <c r="G38" s="1184">
        <v>1.732</v>
      </c>
      <c r="H38" s="1178">
        <v>0</v>
      </c>
      <c r="I38" s="644">
        <f t="shared" si="0"/>
        <v>0</v>
      </c>
      <c r="J38" s="645">
        <v>0</v>
      </c>
      <c r="K38" s="646">
        <v>0</v>
      </c>
      <c r="L38" s="644">
        <f t="shared" si="1"/>
        <v>2</v>
      </c>
      <c r="M38" s="645">
        <v>1</v>
      </c>
      <c r="N38" s="644">
        <v>1</v>
      </c>
    </row>
    <row r="39" spans="1:14" s="266" customFormat="1" ht="12.75" thickBot="1">
      <c r="A39" s="1168"/>
      <c r="B39" s="1170"/>
      <c r="C39" s="1183"/>
      <c r="D39" s="1174"/>
      <c r="E39" s="1174"/>
      <c r="F39" s="1170"/>
      <c r="G39" s="1185"/>
      <c r="H39" s="1179"/>
      <c r="I39" s="883">
        <f t="shared" si="0"/>
        <v>0</v>
      </c>
      <c r="J39" s="990">
        <v>0</v>
      </c>
      <c r="K39" s="915">
        <v>0</v>
      </c>
      <c r="L39" s="883">
        <f t="shared" si="1"/>
        <v>12</v>
      </c>
      <c r="M39" s="990">
        <v>7</v>
      </c>
      <c r="N39" s="883">
        <v>5</v>
      </c>
    </row>
    <row r="40" spans="1:14" s="266" customFormat="1" ht="12">
      <c r="A40" s="1167">
        <v>17</v>
      </c>
      <c r="B40" s="1169" t="s">
        <v>1093</v>
      </c>
      <c r="C40" s="1182" t="s">
        <v>348</v>
      </c>
      <c r="D40" s="1173" t="s">
        <v>27</v>
      </c>
      <c r="E40" s="1180" t="s">
        <v>1179</v>
      </c>
      <c r="F40" s="1169">
        <f>G40+H40</f>
        <v>2.217</v>
      </c>
      <c r="G40" s="1184">
        <v>2.217</v>
      </c>
      <c r="H40" s="1178">
        <v>0</v>
      </c>
      <c r="I40" s="644">
        <f aca="true" t="shared" si="2" ref="I40:I67">J40+K40</f>
        <v>0</v>
      </c>
      <c r="J40" s="645">
        <v>0</v>
      </c>
      <c r="K40" s="646">
        <v>0</v>
      </c>
      <c r="L40" s="644">
        <f aca="true" t="shared" si="3" ref="L40:L67">M40+N40</f>
        <v>1</v>
      </c>
      <c r="M40" s="645">
        <v>1</v>
      </c>
      <c r="N40" s="644">
        <v>0</v>
      </c>
    </row>
    <row r="41" spans="1:14" s="266" customFormat="1" ht="12.75" thickBot="1">
      <c r="A41" s="1168"/>
      <c r="B41" s="1170"/>
      <c r="C41" s="1183"/>
      <c r="D41" s="1174"/>
      <c r="E41" s="1181"/>
      <c r="F41" s="1170"/>
      <c r="G41" s="1185"/>
      <c r="H41" s="1179"/>
      <c r="I41" s="883">
        <f t="shared" si="2"/>
        <v>0</v>
      </c>
      <c r="J41" s="990">
        <v>0</v>
      </c>
      <c r="K41" s="915">
        <v>0</v>
      </c>
      <c r="L41" s="883">
        <f t="shared" si="3"/>
        <v>13</v>
      </c>
      <c r="M41" s="990">
        <v>13</v>
      </c>
      <c r="N41" s="883">
        <v>0</v>
      </c>
    </row>
    <row r="42" spans="1:14" s="266" customFormat="1" ht="12">
      <c r="A42" s="1167">
        <v>18</v>
      </c>
      <c r="B42" s="1169" t="s">
        <v>1094</v>
      </c>
      <c r="C42" s="1182" t="s">
        <v>349</v>
      </c>
      <c r="D42" s="1173" t="s">
        <v>27</v>
      </c>
      <c r="E42" s="1173" t="s">
        <v>1180</v>
      </c>
      <c r="F42" s="1169">
        <f>G42+H42</f>
        <v>2.354</v>
      </c>
      <c r="G42" s="1184">
        <v>2.354</v>
      </c>
      <c r="H42" s="1178">
        <v>0</v>
      </c>
      <c r="I42" s="644">
        <f t="shared" si="2"/>
        <v>0</v>
      </c>
      <c r="J42" s="645">
        <v>0</v>
      </c>
      <c r="K42" s="646">
        <v>0</v>
      </c>
      <c r="L42" s="644">
        <f t="shared" si="3"/>
        <v>3</v>
      </c>
      <c r="M42" s="645">
        <v>0</v>
      </c>
      <c r="N42" s="644">
        <v>3</v>
      </c>
    </row>
    <row r="43" spans="1:14" s="266" customFormat="1" ht="12.75" thickBot="1">
      <c r="A43" s="1168"/>
      <c r="B43" s="1170"/>
      <c r="C43" s="1183"/>
      <c r="D43" s="1174"/>
      <c r="E43" s="1174"/>
      <c r="F43" s="1170"/>
      <c r="G43" s="1185"/>
      <c r="H43" s="1179"/>
      <c r="I43" s="883">
        <f t="shared" si="2"/>
        <v>0</v>
      </c>
      <c r="J43" s="990">
        <v>0</v>
      </c>
      <c r="K43" s="915">
        <v>0</v>
      </c>
      <c r="L43" s="883">
        <f t="shared" si="3"/>
        <v>50</v>
      </c>
      <c r="M43" s="990">
        <v>0</v>
      </c>
      <c r="N43" s="883">
        <v>50</v>
      </c>
    </row>
    <row r="44" spans="1:14" s="266" customFormat="1" ht="12">
      <c r="A44" s="1167">
        <v>19</v>
      </c>
      <c r="B44" s="1169" t="s">
        <v>1095</v>
      </c>
      <c r="C44" s="1182" t="s">
        <v>350</v>
      </c>
      <c r="D44" s="1173" t="s">
        <v>49</v>
      </c>
      <c r="E44" s="1180" t="s">
        <v>1463</v>
      </c>
      <c r="F44" s="1169">
        <f>G44+H44</f>
        <v>1.893</v>
      </c>
      <c r="G44" s="1184">
        <v>1.893</v>
      </c>
      <c r="H44" s="1178">
        <v>0</v>
      </c>
      <c r="I44" s="644">
        <f t="shared" si="2"/>
        <v>0</v>
      </c>
      <c r="J44" s="645">
        <v>0</v>
      </c>
      <c r="K44" s="646">
        <v>0</v>
      </c>
      <c r="L44" s="644">
        <f t="shared" si="3"/>
        <v>2</v>
      </c>
      <c r="M44" s="645">
        <v>2</v>
      </c>
      <c r="N44" s="644">
        <v>0</v>
      </c>
    </row>
    <row r="45" spans="1:14" s="266" customFormat="1" ht="12.75" thickBot="1">
      <c r="A45" s="1168"/>
      <c r="B45" s="1170"/>
      <c r="C45" s="1183"/>
      <c r="D45" s="1174"/>
      <c r="E45" s="1181"/>
      <c r="F45" s="1170"/>
      <c r="G45" s="1185"/>
      <c r="H45" s="1179"/>
      <c r="I45" s="883">
        <f t="shared" si="2"/>
        <v>0</v>
      </c>
      <c r="J45" s="990">
        <v>0</v>
      </c>
      <c r="K45" s="915">
        <v>0</v>
      </c>
      <c r="L45" s="883">
        <f t="shared" si="3"/>
        <v>30</v>
      </c>
      <c r="M45" s="990">
        <v>30</v>
      </c>
      <c r="N45" s="883">
        <v>0</v>
      </c>
    </row>
    <row r="46" spans="1:14" s="266" customFormat="1" ht="12">
      <c r="A46" s="1167">
        <v>20</v>
      </c>
      <c r="B46" s="1169" t="s">
        <v>1096</v>
      </c>
      <c r="C46" s="1182" t="s">
        <v>351</v>
      </c>
      <c r="D46" s="1173" t="s">
        <v>27</v>
      </c>
      <c r="E46" s="1173" t="s">
        <v>1464</v>
      </c>
      <c r="F46" s="1169">
        <f>G46+H46</f>
        <v>5.978</v>
      </c>
      <c r="G46" s="1184">
        <v>5.978</v>
      </c>
      <c r="H46" s="1178">
        <v>0</v>
      </c>
      <c r="I46" s="644">
        <f t="shared" si="2"/>
        <v>0</v>
      </c>
      <c r="J46" s="645">
        <v>0</v>
      </c>
      <c r="K46" s="646">
        <v>0</v>
      </c>
      <c r="L46" s="644">
        <f t="shared" si="3"/>
        <v>10</v>
      </c>
      <c r="M46" s="645">
        <v>9</v>
      </c>
      <c r="N46" s="644">
        <v>1</v>
      </c>
    </row>
    <row r="47" spans="1:14" s="266" customFormat="1" ht="12.75" thickBot="1">
      <c r="A47" s="1168"/>
      <c r="B47" s="1170"/>
      <c r="C47" s="1183"/>
      <c r="D47" s="1174"/>
      <c r="E47" s="1174"/>
      <c r="F47" s="1170"/>
      <c r="G47" s="1185"/>
      <c r="H47" s="1179"/>
      <c r="I47" s="883">
        <f t="shared" si="2"/>
        <v>0</v>
      </c>
      <c r="J47" s="990">
        <v>0</v>
      </c>
      <c r="K47" s="915">
        <v>0</v>
      </c>
      <c r="L47" s="883">
        <f t="shared" si="3"/>
        <v>199</v>
      </c>
      <c r="M47" s="990">
        <v>143</v>
      </c>
      <c r="N47" s="883">
        <v>56</v>
      </c>
    </row>
    <row r="48" spans="1:14" s="266" customFormat="1" ht="12">
      <c r="A48" s="1167">
        <v>21</v>
      </c>
      <c r="B48" s="1169" t="s">
        <v>1097</v>
      </c>
      <c r="C48" s="1182" t="s">
        <v>352</v>
      </c>
      <c r="D48" s="1173" t="s">
        <v>49</v>
      </c>
      <c r="E48" s="1173" t="s">
        <v>1181</v>
      </c>
      <c r="F48" s="1169">
        <f>G48+H48</f>
        <v>11.172</v>
      </c>
      <c r="G48" s="1178">
        <v>0</v>
      </c>
      <c r="H48" s="1184">
        <v>11.172</v>
      </c>
      <c r="I48" s="644">
        <f t="shared" si="2"/>
        <v>0</v>
      </c>
      <c r="J48" s="645">
        <v>0</v>
      </c>
      <c r="K48" s="646">
        <v>0</v>
      </c>
      <c r="L48" s="644">
        <f t="shared" si="3"/>
        <v>5</v>
      </c>
      <c r="M48" s="645">
        <v>2</v>
      </c>
      <c r="N48" s="644">
        <v>3</v>
      </c>
    </row>
    <row r="49" spans="1:14" s="266" customFormat="1" ht="12.75" thickBot="1">
      <c r="A49" s="1168"/>
      <c r="B49" s="1170"/>
      <c r="C49" s="1183"/>
      <c r="D49" s="1174"/>
      <c r="E49" s="1174"/>
      <c r="F49" s="1170"/>
      <c r="G49" s="1179"/>
      <c r="H49" s="1185"/>
      <c r="I49" s="883">
        <f t="shared" si="2"/>
        <v>0</v>
      </c>
      <c r="J49" s="990">
        <v>0</v>
      </c>
      <c r="K49" s="915">
        <v>0</v>
      </c>
      <c r="L49" s="883">
        <f t="shared" si="3"/>
        <v>79</v>
      </c>
      <c r="M49" s="990">
        <v>24</v>
      </c>
      <c r="N49" s="883">
        <v>55</v>
      </c>
    </row>
    <row r="50" spans="1:14" s="266" customFormat="1" ht="12">
      <c r="A50" s="1167">
        <v>22</v>
      </c>
      <c r="B50" s="1169" t="s">
        <v>1098</v>
      </c>
      <c r="C50" s="1182" t="s">
        <v>390</v>
      </c>
      <c r="D50" s="1180" t="s">
        <v>27</v>
      </c>
      <c r="E50" s="1173" t="s">
        <v>1465</v>
      </c>
      <c r="F50" s="1169">
        <f>G50+H50</f>
        <v>2.347</v>
      </c>
      <c r="G50" s="1184">
        <v>2.347</v>
      </c>
      <c r="H50" s="1178">
        <v>0</v>
      </c>
      <c r="I50" s="644">
        <f t="shared" si="2"/>
        <v>1</v>
      </c>
      <c r="J50" s="648">
        <v>1</v>
      </c>
      <c r="K50" s="646">
        <v>0</v>
      </c>
      <c r="L50" s="644">
        <f t="shared" si="3"/>
        <v>2</v>
      </c>
      <c r="M50" s="648">
        <v>2</v>
      </c>
      <c r="N50" s="644">
        <v>0</v>
      </c>
    </row>
    <row r="51" spans="1:14" s="266" customFormat="1" ht="12.75" thickBot="1">
      <c r="A51" s="1168"/>
      <c r="B51" s="1170"/>
      <c r="C51" s="1183"/>
      <c r="D51" s="1181"/>
      <c r="E51" s="1174"/>
      <c r="F51" s="1170"/>
      <c r="G51" s="1185"/>
      <c r="H51" s="1179"/>
      <c r="I51" s="885">
        <f t="shared" si="2"/>
        <v>6</v>
      </c>
      <c r="J51" s="651">
        <v>6</v>
      </c>
      <c r="K51" s="915"/>
      <c r="L51" s="883">
        <f t="shared" si="3"/>
        <v>23</v>
      </c>
      <c r="M51" s="611">
        <v>23</v>
      </c>
      <c r="N51" s="883">
        <v>0</v>
      </c>
    </row>
    <row r="52" spans="1:14" s="266" customFormat="1" ht="12">
      <c r="A52" s="1167">
        <v>23</v>
      </c>
      <c r="B52" s="1169" t="s">
        <v>1099</v>
      </c>
      <c r="C52" s="1182" t="s">
        <v>391</v>
      </c>
      <c r="D52" s="1180" t="s">
        <v>27</v>
      </c>
      <c r="E52" s="1169" t="s">
        <v>1466</v>
      </c>
      <c r="F52" s="1169">
        <f>G52+H52</f>
        <v>13.397</v>
      </c>
      <c r="G52" s="1184">
        <v>13.397</v>
      </c>
      <c r="H52" s="1178">
        <v>0</v>
      </c>
      <c r="I52" s="644">
        <f t="shared" si="2"/>
        <v>0</v>
      </c>
      <c r="J52" s="645">
        <v>0</v>
      </c>
      <c r="K52" s="646">
        <v>0</v>
      </c>
      <c r="L52" s="644">
        <f t="shared" si="3"/>
        <v>15</v>
      </c>
      <c r="M52" s="645">
        <v>15</v>
      </c>
      <c r="N52" s="644">
        <v>0</v>
      </c>
    </row>
    <row r="53" spans="1:14" s="266" customFormat="1" ht="12.75" thickBot="1">
      <c r="A53" s="1168"/>
      <c r="B53" s="1170"/>
      <c r="C53" s="1183"/>
      <c r="D53" s="1181"/>
      <c r="E53" s="1170"/>
      <c r="F53" s="1170"/>
      <c r="G53" s="1185"/>
      <c r="H53" s="1179"/>
      <c r="I53" s="883">
        <f t="shared" si="2"/>
        <v>0</v>
      </c>
      <c r="J53" s="990">
        <v>0</v>
      </c>
      <c r="K53" s="915">
        <v>0</v>
      </c>
      <c r="L53" s="883">
        <f t="shared" si="3"/>
        <v>241</v>
      </c>
      <c r="M53" s="990">
        <v>241</v>
      </c>
      <c r="N53" s="883">
        <v>0</v>
      </c>
    </row>
    <row r="54" spans="1:14" s="266" customFormat="1" ht="12">
      <c r="A54" s="1167">
        <v>24</v>
      </c>
      <c r="B54" s="1169" t="s">
        <v>1100</v>
      </c>
      <c r="C54" s="1182" t="s">
        <v>392</v>
      </c>
      <c r="D54" s="1180" t="s">
        <v>27</v>
      </c>
      <c r="E54" s="1180" t="s">
        <v>1491</v>
      </c>
      <c r="F54" s="1184">
        <f>G54+H54</f>
        <v>9.342</v>
      </c>
      <c r="G54" s="1184">
        <v>9.342</v>
      </c>
      <c r="H54" s="1178">
        <v>0</v>
      </c>
      <c r="I54" s="644">
        <f t="shared" si="2"/>
        <v>0</v>
      </c>
      <c r="J54" s="645">
        <v>0</v>
      </c>
      <c r="K54" s="648">
        <v>0</v>
      </c>
      <c r="L54" s="644">
        <f t="shared" si="3"/>
        <v>8</v>
      </c>
      <c r="M54" s="645">
        <v>5</v>
      </c>
      <c r="N54" s="644">
        <v>3</v>
      </c>
    </row>
    <row r="55" spans="1:14" s="266" customFormat="1" ht="12.75" thickBot="1">
      <c r="A55" s="1168"/>
      <c r="B55" s="1170"/>
      <c r="C55" s="1183"/>
      <c r="D55" s="1181"/>
      <c r="E55" s="1181"/>
      <c r="F55" s="1170"/>
      <c r="G55" s="1185"/>
      <c r="H55" s="1179"/>
      <c r="I55" s="883">
        <f t="shared" si="2"/>
        <v>0</v>
      </c>
      <c r="J55" s="990">
        <v>0</v>
      </c>
      <c r="K55" s="611">
        <v>0</v>
      </c>
      <c r="L55" s="883">
        <f t="shared" si="3"/>
        <v>121</v>
      </c>
      <c r="M55" s="990">
        <v>76</v>
      </c>
      <c r="N55" s="883">
        <v>45</v>
      </c>
    </row>
    <row r="56" spans="1:14" s="266" customFormat="1" ht="12">
      <c r="A56" s="1167">
        <v>25</v>
      </c>
      <c r="B56" s="1169" t="s">
        <v>1101</v>
      </c>
      <c r="C56" s="1182" t="s">
        <v>393</v>
      </c>
      <c r="D56" s="1180" t="s">
        <v>27</v>
      </c>
      <c r="E56" s="1180" t="s">
        <v>1467</v>
      </c>
      <c r="F56" s="1169">
        <f>G56+H56</f>
        <v>2.459</v>
      </c>
      <c r="G56" s="1184">
        <v>2.459</v>
      </c>
      <c r="H56" s="1178">
        <v>0</v>
      </c>
      <c r="I56" s="644">
        <f t="shared" si="2"/>
        <v>1</v>
      </c>
      <c r="J56" s="648">
        <v>1</v>
      </c>
      <c r="K56" s="646">
        <v>0</v>
      </c>
      <c r="L56" s="644">
        <f t="shared" si="3"/>
        <v>1</v>
      </c>
      <c r="M56" s="648">
        <v>0</v>
      </c>
      <c r="N56" s="644">
        <v>1</v>
      </c>
    </row>
    <row r="57" spans="1:14" s="266" customFormat="1" ht="12.75" thickBot="1">
      <c r="A57" s="1168"/>
      <c r="B57" s="1170"/>
      <c r="C57" s="1183"/>
      <c r="D57" s="1181"/>
      <c r="E57" s="1181"/>
      <c r="F57" s="1170"/>
      <c r="G57" s="1185"/>
      <c r="H57" s="1179"/>
      <c r="I57" s="885">
        <f t="shared" si="2"/>
        <v>59.2</v>
      </c>
      <c r="J57" s="651">
        <v>59.2</v>
      </c>
      <c r="K57" s="915">
        <v>0</v>
      </c>
      <c r="L57" s="883">
        <f t="shared" si="3"/>
        <v>10</v>
      </c>
      <c r="M57" s="611">
        <v>0</v>
      </c>
      <c r="N57" s="883">
        <v>10</v>
      </c>
    </row>
    <row r="58" spans="1:14" s="266" customFormat="1" ht="12">
      <c r="A58" s="1167">
        <v>26</v>
      </c>
      <c r="B58" s="1169" t="s">
        <v>1102</v>
      </c>
      <c r="C58" s="1182" t="s">
        <v>441</v>
      </c>
      <c r="D58" s="1180" t="s">
        <v>27</v>
      </c>
      <c r="E58" s="1169" t="s">
        <v>394</v>
      </c>
      <c r="F58" s="1169">
        <f>G58+H58</f>
        <v>12.5</v>
      </c>
      <c r="G58" s="1178">
        <v>0.3</v>
      </c>
      <c r="H58" s="1178">
        <v>12.2</v>
      </c>
      <c r="I58" s="644">
        <f t="shared" si="2"/>
        <v>0</v>
      </c>
      <c r="J58" s="645">
        <v>0</v>
      </c>
      <c r="K58" s="646">
        <v>0</v>
      </c>
      <c r="L58" s="644">
        <f t="shared" si="3"/>
        <v>10</v>
      </c>
      <c r="M58" s="645">
        <v>6</v>
      </c>
      <c r="N58" s="644">
        <v>4</v>
      </c>
    </row>
    <row r="59" spans="1:14" s="266" customFormat="1" ht="12.75" thickBot="1">
      <c r="A59" s="1168"/>
      <c r="B59" s="1170"/>
      <c r="C59" s="1183"/>
      <c r="D59" s="1181"/>
      <c r="E59" s="1170"/>
      <c r="F59" s="1170"/>
      <c r="G59" s="1179"/>
      <c r="H59" s="1179"/>
      <c r="I59" s="883">
        <f t="shared" si="2"/>
        <v>0</v>
      </c>
      <c r="J59" s="990">
        <v>0</v>
      </c>
      <c r="K59" s="915">
        <v>0</v>
      </c>
      <c r="L59" s="883">
        <f t="shared" si="3"/>
        <v>314</v>
      </c>
      <c r="M59" s="990">
        <v>204</v>
      </c>
      <c r="N59" s="883">
        <v>110</v>
      </c>
    </row>
    <row r="60" spans="1:14" s="266" customFormat="1" ht="12">
      <c r="A60" s="1167">
        <v>27</v>
      </c>
      <c r="B60" s="1169" t="s">
        <v>1103</v>
      </c>
      <c r="C60" s="1182" t="s">
        <v>395</v>
      </c>
      <c r="D60" s="1180" t="s">
        <v>27</v>
      </c>
      <c r="E60" s="1169" t="s">
        <v>339</v>
      </c>
      <c r="F60" s="1169">
        <f>G60+H60</f>
        <v>0.6</v>
      </c>
      <c r="G60" s="1169">
        <v>0</v>
      </c>
      <c r="H60" s="1169">
        <v>0.6</v>
      </c>
      <c r="I60" s="644">
        <f t="shared" si="2"/>
        <v>0</v>
      </c>
      <c r="J60" s="648">
        <v>0</v>
      </c>
      <c r="K60" s="646">
        <v>0</v>
      </c>
      <c r="L60" s="644">
        <f t="shared" si="3"/>
        <v>0</v>
      </c>
      <c r="M60" s="648">
        <v>0</v>
      </c>
      <c r="N60" s="644">
        <v>0</v>
      </c>
    </row>
    <row r="61" spans="1:14" s="266" customFormat="1" ht="12.75" thickBot="1">
      <c r="A61" s="1168"/>
      <c r="B61" s="1170"/>
      <c r="C61" s="1183"/>
      <c r="D61" s="1181"/>
      <c r="E61" s="1170"/>
      <c r="F61" s="1170"/>
      <c r="G61" s="1170"/>
      <c r="H61" s="1170"/>
      <c r="I61" s="883">
        <f t="shared" si="2"/>
        <v>0</v>
      </c>
      <c r="J61" s="611">
        <v>0</v>
      </c>
      <c r="K61" s="915">
        <v>0</v>
      </c>
      <c r="L61" s="883">
        <f t="shared" si="3"/>
        <v>0</v>
      </c>
      <c r="M61" s="611">
        <v>0</v>
      </c>
      <c r="N61" s="883">
        <v>0</v>
      </c>
    </row>
    <row r="62" spans="1:14" s="266" customFormat="1" ht="12">
      <c r="A62" s="1167">
        <v>28</v>
      </c>
      <c r="B62" s="1169" t="s">
        <v>1104</v>
      </c>
      <c r="C62" s="1182" t="s">
        <v>396</v>
      </c>
      <c r="D62" s="1180" t="s">
        <v>27</v>
      </c>
      <c r="E62" s="1169" t="s">
        <v>1468</v>
      </c>
      <c r="F62" s="1184">
        <f>G62+H62</f>
        <v>2.462</v>
      </c>
      <c r="G62" s="1178">
        <v>0</v>
      </c>
      <c r="H62" s="1184">
        <v>2.462</v>
      </c>
      <c r="I62" s="644">
        <f t="shared" si="2"/>
        <v>0</v>
      </c>
      <c r="J62" s="645">
        <v>0</v>
      </c>
      <c r="K62" s="646">
        <v>0</v>
      </c>
      <c r="L62" s="644">
        <f t="shared" si="3"/>
        <v>5</v>
      </c>
      <c r="M62" s="645">
        <v>3</v>
      </c>
      <c r="N62" s="644">
        <v>2</v>
      </c>
    </row>
    <row r="63" spans="1:14" s="266" customFormat="1" ht="12.75" thickBot="1">
      <c r="A63" s="1168"/>
      <c r="B63" s="1170"/>
      <c r="C63" s="1183"/>
      <c r="D63" s="1181"/>
      <c r="E63" s="1170"/>
      <c r="F63" s="1185"/>
      <c r="G63" s="1179"/>
      <c r="H63" s="1185"/>
      <c r="I63" s="883">
        <f t="shared" si="2"/>
        <v>0</v>
      </c>
      <c r="J63" s="990">
        <v>0</v>
      </c>
      <c r="K63" s="915">
        <v>0</v>
      </c>
      <c r="L63" s="883">
        <f t="shared" si="3"/>
        <v>83</v>
      </c>
      <c r="M63" s="990">
        <v>43</v>
      </c>
      <c r="N63" s="883">
        <v>40</v>
      </c>
    </row>
    <row r="64" spans="1:14" s="266" customFormat="1" ht="12">
      <c r="A64" s="1167">
        <v>29</v>
      </c>
      <c r="B64" s="1169" t="s">
        <v>1105</v>
      </c>
      <c r="C64" s="1182" t="s">
        <v>397</v>
      </c>
      <c r="D64" s="1173" t="s">
        <v>27</v>
      </c>
      <c r="E64" s="1173" t="s">
        <v>1469</v>
      </c>
      <c r="F64" s="1184">
        <f>G64+H64</f>
        <v>6.376</v>
      </c>
      <c r="G64" s="1178">
        <v>0</v>
      </c>
      <c r="H64" s="1184">
        <v>6.376</v>
      </c>
      <c r="I64" s="644">
        <f t="shared" si="2"/>
        <v>0</v>
      </c>
      <c r="J64" s="645">
        <v>0</v>
      </c>
      <c r="K64" s="646">
        <v>0</v>
      </c>
      <c r="L64" s="644">
        <f t="shared" si="3"/>
        <v>8</v>
      </c>
      <c r="M64" s="645">
        <v>7</v>
      </c>
      <c r="N64" s="644">
        <v>1</v>
      </c>
    </row>
    <row r="65" spans="1:14" s="266" customFormat="1" ht="12.75" thickBot="1">
      <c r="A65" s="1168"/>
      <c r="B65" s="1170"/>
      <c r="C65" s="1183"/>
      <c r="D65" s="1174"/>
      <c r="E65" s="1174"/>
      <c r="F65" s="1185"/>
      <c r="G65" s="1179"/>
      <c r="H65" s="1185"/>
      <c r="I65" s="883">
        <f t="shared" si="2"/>
        <v>0</v>
      </c>
      <c r="J65" s="990">
        <v>0</v>
      </c>
      <c r="K65" s="915">
        <v>0</v>
      </c>
      <c r="L65" s="883">
        <f t="shared" si="3"/>
        <v>143</v>
      </c>
      <c r="M65" s="990">
        <v>119</v>
      </c>
      <c r="N65" s="883">
        <v>24</v>
      </c>
    </row>
    <row r="66" spans="1:14" s="266" customFormat="1" ht="12">
      <c r="A66" s="1167">
        <v>30</v>
      </c>
      <c r="B66" s="1169" t="s">
        <v>1106</v>
      </c>
      <c r="C66" s="1232" t="s">
        <v>398</v>
      </c>
      <c r="D66" s="1180" t="s">
        <v>27</v>
      </c>
      <c r="E66" s="1169" t="s">
        <v>1470</v>
      </c>
      <c r="F66" s="1184">
        <f>G66+H66</f>
        <v>2.882</v>
      </c>
      <c r="G66" s="1184">
        <v>2.882</v>
      </c>
      <c r="H66" s="1178">
        <v>0</v>
      </c>
      <c r="I66" s="644">
        <f t="shared" si="2"/>
        <v>0</v>
      </c>
      <c r="J66" s="645">
        <v>0</v>
      </c>
      <c r="K66" s="646">
        <v>0</v>
      </c>
      <c r="L66" s="644">
        <f t="shared" si="3"/>
        <v>3</v>
      </c>
      <c r="M66" s="645">
        <v>2</v>
      </c>
      <c r="N66" s="644">
        <v>1</v>
      </c>
    </row>
    <row r="67" spans="1:14" s="266" customFormat="1" ht="12.75" thickBot="1">
      <c r="A67" s="1168"/>
      <c r="B67" s="1170"/>
      <c r="C67" s="1233"/>
      <c r="D67" s="1181"/>
      <c r="E67" s="1170"/>
      <c r="F67" s="1185"/>
      <c r="G67" s="1185"/>
      <c r="H67" s="1179"/>
      <c r="I67" s="883">
        <f t="shared" si="2"/>
        <v>0</v>
      </c>
      <c r="J67" s="990">
        <v>0</v>
      </c>
      <c r="K67" s="915">
        <v>0</v>
      </c>
      <c r="L67" s="883">
        <f t="shared" si="3"/>
        <v>73</v>
      </c>
      <c r="M67" s="990">
        <v>50</v>
      </c>
      <c r="N67" s="883">
        <v>23</v>
      </c>
    </row>
    <row r="68" spans="1:14" s="266" customFormat="1" ht="12" customHeight="1" hidden="1" thickBot="1">
      <c r="A68" s="1167">
        <v>31</v>
      </c>
      <c r="B68" s="1164"/>
      <c r="C68" s="1332"/>
      <c r="D68" s="1651"/>
      <c r="E68" s="1166"/>
      <c r="F68" s="1184">
        <f>G68+H68</f>
        <v>0</v>
      </c>
      <c r="G68" s="1395"/>
      <c r="H68" s="1161"/>
      <c r="I68" s="652"/>
      <c r="J68" s="706"/>
      <c r="K68" s="654"/>
      <c r="L68" s="652"/>
      <c r="M68" s="706"/>
      <c r="N68" s="652"/>
    </row>
    <row r="69" spans="1:14" s="266" customFormat="1" ht="26.25" customHeight="1" hidden="1">
      <c r="A69" s="1168"/>
      <c r="B69" s="1164"/>
      <c r="C69" s="1332"/>
      <c r="D69" s="1651"/>
      <c r="E69" s="1164"/>
      <c r="F69" s="1185"/>
      <c r="G69" s="1395"/>
      <c r="H69" s="1161"/>
      <c r="I69" s="878"/>
      <c r="J69" s="605"/>
      <c r="K69" s="914"/>
      <c r="L69" s="880"/>
      <c r="M69" s="605"/>
      <c r="N69" s="880"/>
    </row>
    <row r="70" spans="1:14" s="266" customFormat="1" ht="12">
      <c r="A70" s="1167">
        <v>31</v>
      </c>
      <c r="B70" s="1169" t="s">
        <v>1107</v>
      </c>
      <c r="C70" s="1182" t="s">
        <v>353</v>
      </c>
      <c r="D70" s="1173" t="s">
        <v>49</v>
      </c>
      <c r="E70" s="1173" t="s">
        <v>1471</v>
      </c>
      <c r="F70" s="1184">
        <f>G70+H70</f>
        <v>1.175</v>
      </c>
      <c r="G70" s="1178">
        <v>0</v>
      </c>
      <c r="H70" s="1184">
        <v>1.175</v>
      </c>
      <c r="I70" s="644">
        <v>0</v>
      </c>
      <c r="J70" s="645">
        <v>0</v>
      </c>
      <c r="K70" s="646">
        <v>0</v>
      </c>
      <c r="L70" s="644">
        <v>0</v>
      </c>
      <c r="M70" s="645">
        <v>0</v>
      </c>
      <c r="N70" s="644">
        <v>0</v>
      </c>
    </row>
    <row r="71" spans="1:14" s="266" customFormat="1" ht="12.75" thickBot="1">
      <c r="A71" s="1168"/>
      <c r="B71" s="1170"/>
      <c r="C71" s="1183"/>
      <c r="D71" s="1174"/>
      <c r="E71" s="1174"/>
      <c r="F71" s="1185"/>
      <c r="G71" s="1179"/>
      <c r="H71" s="1185"/>
      <c r="I71" s="883">
        <v>0</v>
      </c>
      <c r="J71" s="990">
        <v>0</v>
      </c>
      <c r="K71" s="915">
        <v>0</v>
      </c>
      <c r="L71" s="883">
        <v>0</v>
      </c>
      <c r="M71" s="990">
        <v>0</v>
      </c>
      <c r="N71" s="883">
        <v>0</v>
      </c>
    </row>
    <row r="72" spans="1:14" s="266" customFormat="1" ht="12">
      <c r="A72" s="1239">
        <v>32</v>
      </c>
      <c r="B72" s="1241" t="s">
        <v>1192</v>
      </c>
      <c r="C72" s="1243" t="s">
        <v>1257</v>
      </c>
      <c r="D72" s="1180" t="s">
        <v>102</v>
      </c>
      <c r="E72" s="1173" t="s">
        <v>1344</v>
      </c>
      <c r="F72" s="1184">
        <f>G72+H72</f>
        <v>13.984</v>
      </c>
      <c r="G72" s="1184">
        <v>13.984</v>
      </c>
      <c r="H72" s="1178">
        <v>0</v>
      </c>
      <c r="I72" s="644">
        <f aca="true" t="shared" si="4" ref="I72:I83">J72+K72</f>
        <v>0</v>
      </c>
      <c r="J72" s="645"/>
      <c r="K72" s="646">
        <v>0</v>
      </c>
      <c r="L72" s="644">
        <f aca="true" t="shared" si="5" ref="L72:L83">M72+N72</f>
        <v>14</v>
      </c>
      <c r="M72" s="645">
        <v>13</v>
      </c>
      <c r="N72" s="644">
        <v>1</v>
      </c>
    </row>
    <row r="73" spans="1:14" s="266" customFormat="1" ht="26.25" customHeight="1" thickBot="1">
      <c r="A73" s="1240"/>
      <c r="B73" s="1242"/>
      <c r="C73" s="1244"/>
      <c r="D73" s="1181"/>
      <c r="E73" s="1170"/>
      <c r="F73" s="1185"/>
      <c r="G73" s="1185"/>
      <c r="H73" s="1179"/>
      <c r="I73" s="649">
        <f t="shared" si="4"/>
        <v>0</v>
      </c>
      <c r="J73" s="610"/>
      <c r="K73" s="647">
        <v>0</v>
      </c>
      <c r="L73" s="609">
        <f t="shared" si="5"/>
        <v>383</v>
      </c>
      <c r="M73" s="610">
        <v>371</v>
      </c>
      <c r="N73" s="609">
        <v>12</v>
      </c>
    </row>
    <row r="74" spans="1:14" s="1" customFormat="1" ht="12.75" hidden="1" thickBot="1">
      <c r="A74" s="1643">
        <v>33</v>
      </c>
      <c r="B74" s="1573"/>
      <c r="C74" s="1783"/>
      <c r="D74" s="1791"/>
      <c r="E74" s="1573"/>
      <c r="F74" s="1786">
        <f>G74+H74</f>
        <v>0</v>
      </c>
      <c r="G74" s="1786"/>
      <c r="H74" s="1786"/>
      <c r="I74" s="58">
        <f t="shared" si="4"/>
        <v>0</v>
      </c>
      <c r="J74" s="56"/>
      <c r="K74" s="57"/>
      <c r="L74" s="58">
        <f t="shared" si="5"/>
        <v>0</v>
      </c>
      <c r="M74" s="56"/>
      <c r="N74" s="58"/>
    </row>
    <row r="75" spans="1:14" s="1" customFormat="1" ht="12.75" hidden="1" thickBot="1">
      <c r="A75" s="1819"/>
      <c r="B75" s="1574"/>
      <c r="C75" s="1563"/>
      <c r="D75" s="1789"/>
      <c r="E75" s="1574"/>
      <c r="F75" s="1569"/>
      <c r="G75" s="1569"/>
      <c r="H75" s="1569"/>
      <c r="I75" s="12">
        <f t="shared" si="4"/>
        <v>0</v>
      </c>
      <c r="J75" s="16"/>
      <c r="K75" s="15"/>
      <c r="L75" s="12">
        <f t="shared" si="5"/>
        <v>0</v>
      </c>
      <c r="M75" s="16"/>
      <c r="N75" s="12"/>
    </row>
    <row r="76" spans="1:14" s="1" customFormat="1" ht="12.75" hidden="1" thickBot="1">
      <c r="A76" s="1642">
        <v>34</v>
      </c>
      <c r="B76" s="1446"/>
      <c r="C76" s="1598"/>
      <c r="D76" s="1788"/>
      <c r="E76" s="1598"/>
      <c r="F76" s="1790">
        <f>G76+H76</f>
        <v>0</v>
      </c>
      <c r="G76" s="1790"/>
      <c r="H76" s="1790"/>
      <c r="I76" s="55">
        <f t="shared" si="4"/>
        <v>0</v>
      </c>
      <c r="J76" s="59"/>
      <c r="K76" s="60"/>
      <c r="L76" s="55">
        <f t="shared" si="5"/>
        <v>0</v>
      </c>
      <c r="M76" s="59"/>
      <c r="N76" s="55"/>
    </row>
    <row r="77" spans="1:14" s="1" customFormat="1" ht="12.75" hidden="1" thickBot="1">
      <c r="A77" s="1819"/>
      <c r="B77" s="1574"/>
      <c r="C77" s="1563"/>
      <c r="D77" s="1789"/>
      <c r="E77" s="1563"/>
      <c r="F77" s="1569"/>
      <c r="G77" s="1569"/>
      <c r="H77" s="1569"/>
      <c r="I77" s="12">
        <f t="shared" si="4"/>
        <v>0</v>
      </c>
      <c r="J77" s="16"/>
      <c r="K77" s="15"/>
      <c r="L77" s="12">
        <f t="shared" si="5"/>
        <v>0</v>
      </c>
      <c r="M77" s="16"/>
      <c r="N77" s="12"/>
    </row>
    <row r="78" spans="1:14" s="1" customFormat="1" ht="12.75" hidden="1" thickBot="1">
      <c r="A78" s="1642">
        <v>35</v>
      </c>
      <c r="B78" s="1446"/>
      <c r="C78" s="1598"/>
      <c r="D78" s="1788"/>
      <c r="E78" s="1598"/>
      <c r="F78" s="1790">
        <f>G78+H78</f>
        <v>0</v>
      </c>
      <c r="G78" s="1790"/>
      <c r="H78" s="1790"/>
      <c r="I78" s="55">
        <f t="shared" si="4"/>
        <v>0</v>
      </c>
      <c r="J78" s="59"/>
      <c r="K78" s="60"/>
      <c r="L78" s="55">
        <f t="shared" si="5"/>
        <v>0</v>
      </c>
      <c r="M78" s="59"/>
      <c r="N78" s="55"/>
    </row>
    <row r="79" spans="1:14" s="1" customFormat="1" ht="12.75" hidden="1" thickBot="1">
      <c r="A79" s="1819"/>
      <c r="B79" s="1574"/>
      <c r="C79" s="1563"/>
      <c r="D79" s="1789"/>
      <c r="E79" s="1563"/>
      <c r="F79" s="1569"/>
      <c r="G79" s="1569"/>
      <c r="H79" s="1569"/>
      <c r="I79" s="12">
        <f t="shared" si="4"/>
        <v>0</v>
      </c>
      <c r="J79" s="16"/>
      <c r="K79" s="15"/>
      <c r="L79" s="12">
        <f t="shared" si="5"/>
        <v>0</v>
      </c>
      <c r="M79" s="16"/>
      <c r="N79" s="12"/>
    </row>
    <row r="80" spans="1:14" s="1" customFormat="1" ht="12.75" hidden="1" thickBot="1">
      <c r="A80" s="1642">
        <v>36</v>
      </c>
      <c r="B80" s="1446"/>
      <c r="C80" s="1598"/>
      <c r="D80" s="1788"/>
      <c r="E80" s="1598"/>
      <c r="F80" s="1817">
        <f>G80+H80</f>
        <v>0</v>
      </c>
      <c r="G80" s="1820"/>
      <c r="H80" s="1790"/>
      <c r="I80" s="55">
        <f t="shared" si="4"/>
        <v>0</v>
      </c>
      <c r="J80" s="59"/>
      <c r="K80" s="60"/>
      <c r="L80" s="55">
        <f t="shared" si="5"/>
        <v>0</v>
      </c>
      <c r="M80" s="59"/>
      <c r="N80" s="55"/>
    </row>
    <row r="81" spans="1:14" s="1" customFormat="1" ht="12.75" hidden="1" thickBot="1">
      <c r="A81" s="1819"/>
      <c r="B81" s="1574"/>
      <c r="C81" s="1563"/>
      <c r="D81" s="1789"/>
      <c r="E81" s="1563"/>
      <c r="F81" s="1818"/>
      <c r="G81" s="1821"/>
      <c r="H81" s="1569"/>
      <c r="I81" s="12">
        <f t="shared" si="4"/>
        <v>0</v>
      </c>
      <c r="J81" s="16"/>
      <c r="K81" s="15"/>
      <c r="L81" s="12">
        <f t="shared" si="5"/>
        <v>0</v>
      </c>
      <c r="M81" s="16"/>
      <c r="N81" s="12"/>
    </row>
    <row r="82" spans="1:14" s="1" customFormat="1" ht="12.75" hidden="1" thickBot="1">
      <c r="A82" s="1642">
        <v>37</v>
      </c>
      <c r="B82" s="1446"/>
      <c r="C82" s="1598"/>
      <c r="D82" s="1788"/>
      <c r="E82" s="1788"/>
      <c r="F82" s="1790">
        <f>G82+H82</f>
        <v>0</v>
      </c>
      <c r="G82" s="1790"/>
      <c r="H82" s="1790"/>
      <c r="I82" s="55">
        <f t="shared" si="4"/>
        <v>0</v>
      </c>
      <c r="J82" s="59"/>
      <c r="K82" s="60"/>
      <c r="L82" s="55">
        <f t="shared" si="5"/>
        <v>0</v>
      </c>
      <c r="M82" s="59"/>
      <c r="N82" s="55"/>
    </row>
    <row r="83" spans="1:14" s="1" customFormat="1" ht="12.75" hidden="1" thickBot="1">
      <c r="A83" s="1643"/>
      <c r="B83" s="1573"/>
      <c r="C83" s="1783"/>
      <c r="D83" s="1791"/>
      <c r="E83" s="1791"/>
      <c r="F83" s="1786"/>
      <c r="G83" s="1786"/>
      <c r="H83" s="1786"/>
      <c r="I83" s="10">
        <f t="shared" si="4"/>
        <v>0</v>
      </c>
      <c r="J83" s="30"/>
      <c r="K83" s="29"/>
      <c r="L83" s="10">
        <f t="shared" si="5"/>
        <v>0</v>
      </c>
      <c r="M83" s="30"/>
      <c r="N83" s="10"/>
    </row>
    <row r="84" spans="1:14" s="2" customFormat="1" ht="12">
      <c r="A84" s="1553"/>
      <c r="B84" s="375"/>
      <c r="C84" s="1594" t="s">
        <v>229</v>
      </c>
      <c r="D84" s="1594"/>
      <c r="E84" s="1594"/>
      <c r="F84" s="1777">
        <f aca="true" t="shared" si="6" ref="F84:N84">F8+F50+F52+F54+F56+F58+F60+F62+F66+F68+F10+F12+F14+F16+F18+F20+F22+F24+F26+F28+F30+F32+F34+F36+F38+F40+F42+F44+F46+F48+F70+F64+F72+F74+F76+F78+F80+F82</f>
        <v>231.07600000000002</v>
      </c>
      <c r="G84" s="1777">
        <f t="shared" si="6"/>
        <v>159.62800000000007</v>
      </c>
      <c r="H84" s="1777">
        <f t="shared" si="6"/>
        <v>71.44800000000001</v>
      </c>
      <c r="I84" s="324">
        <f t="shared" si="6"/>
        <v>8</v>
      </c>
      <c r="J84" s="324">
        <f t="shared" si="6"/>
        <v>8</v>
      </c>
      <c r="K84" s="324">
        <f t="shared" si="6"/>
        <v>0</v>
      </c>
      <c r="L84" s="382">
        <f t="shared" si="6"/>
        <v>197</v>
      </c>
      <c r="M84" s="382">
        <f t="shared" si="6"/>
        <v>144</v>
      </c>
      <c r="N84" s="382">
        <f t="shared" si="6"/>
        <v>53</v>
      </c>
    </row>
    <row r="85" spans="1:14" s="2" customFormat="1" ht="12.75" thickBot="1">
      <c r="A85" s="1554"/>
      <c r="B85" s="376"/>
      <c r="C85" s="1595"/>
      <c r="D85" s="1595"/>
      <c r="E85" s="1595"/>
      <c r="F85" s="1778"/>
      <c r="G85" s="1778"/>
      <c r="H85" s="1778"/>
      <c r="I85" s="383">
        <f aca="true" t="shared" si="7" ref="I85:N85">I9+I51+I53+I55+I57+I59+I61+I63+I67+I69+I11+I13+I15+I17+I19+I21+I23+I25+I27+I29+I31+I33+I35+I37+I39+I41+I43+I45+I47+I49+I71+I65+I73+I75+I77+I79+I81+I83</f>
        <v>204.54000000000002</v>
      </c>
      <c r="J85" s="383">
        <f t="shared" si="7"/>
        <v>204.54000000000002</v>
      </c>
      <c r="K85" s="383">
        <f t="shared" si="7"/>
        <v>0</v>
      </c>
      <c r="L85" s="384">
        <f t="shared" si="7"/>
        <v>3414</v>
      </c>
      <c r="M85" s="384">
        <f t="shared" si="7"/>
        <v>2578</v>
      </c>
      <c r="N85" s="384">
        <f t="shared" si="7"/>
        <v>836</v>
      </c>
    </row>
    <row r="86" spans="1:8" ht="12.75" hidden="1">
      <c r="A86" s="151"/>
      <c r="B86" s="253"/>
      <c r="C86" s="1150" t="s">
        <v>454</v>
      </c>
      <c r="D86" s="161" t="s">
        <v>450</v>
      </c>
      <c r="E86" s="162"/>
      <c r="F86" s="185">
        <f>SUMIF($D$8:$D$83,"=I",F8:F83)</f>
        <v>0</v>
      </c>
      <c r="G86" s="185">
        <f>SUMIF($D$8:$D$83,"=I",G8:G83)</f>
        <v>0</v>
      </c>
      <c r="H86" s="185">
        <f>SUMIF($D$8:$D$83,"=I",H8:H83)</f>
        <v>0</v>
      </c>
    </row>
    <row r="87" spans="1:8" ht="12.75">
      <c r="A87" s="151"/>
      <c r="B87" s="253"/>
      <c r="C87" s="1151"/>
      <c r="D87" s="69" t="s">
        <v>100</v>
      </c>
      <c r="E87" s="63"/>
      <c r="F87" s="101">
        <f>SUMIF($D$8:$D$83,"=II",F8:F83)</f>
        <v>0</v>
      </c>
      <c r="G87" s="101">
        <f>SUMIF($D$8:$D$83,"=II",G8:G83)</f>
        <v>0</v>
      </c>
      <c r="H87" s="101">
        <f>SUMIF($D$8:$D$83,"=II",H8:H83)</f>
        <v>0</v>
      </c>
    </row>
    <row r="88" spans="1:8" ht="12.75">
      <c r="A88" s="151"/>
      <c r="B88" s="253"/>
      <c r="C88" s="1151"/>
      <c r="D88" s="68" t="s">
        <v>102</v>
      </c>
      <c r="E88" s="63"/>
      <c r="F88" s="101">
        <f>SUMIF($D$8:$D$83,"=III",F8:F83)</f>
        <v>13.984</v>
      </c>
      <c r="G88" s="101">
        <f>SUMIF($D$8:$D$83,"=III",G8:G83)</f>
        <v>13.984</v>
      </c>
      <c r="H88" s="101">
        <f>SUMIF($D$8:$D$83,"=III",H8:H83)</f>
        <v>0</v>
      </c>
    </row>
    <row r="89" spans="1:8" ht="12.75">
      <c r="A89" s="151"/>
      <c r="B89" s="253"/>
      <c r="C89" s="1151"/>
      <c r="D89" s="70" t="s">
        <v>27</v>
      </c>
      <c r="E89" s="67"/>
      <c r="F89" s="101">
        <f>SUMIF($D$8:$D$83,"=IV",F8:F83)</f>
        <v>198.21900000000002</v>
      </c>
      <c r="G89" s="101">
        <f>SUMIF($D$8:$D$83,"=IV",G8:G83)</f>
        <v>139.11800000000002</v>
      </c>
      <c r="H89" s="101">
        <f>SUMIF($D$8:$D$83,"=IV",H8:H83)</f>
        <v>59.101</v>
      </c>
    </row>
    <row r="90" spans="1:8" ht="12.75">
      <c r="A90" s="152"/>
      <c r="B90" s="254"/>
      <c r="C90" s="1151"/>
      <c r="D90" s="70" t="s">
        <v>49</v>
      </c>
      <c r="E90" s="64"/>
      <c r="F90" s="64">
        <f>SUMIF($D$8:$D$83,"=V",F8:F83)</f>
        <v>18.873</v>
      </c>
      <c r="G90" s="64">
        <f>SUMIF($D$8:$D$83,"=V",G8:G83)</f>
        <v>6.526</v>
      </c>
      <c r="H90" s="64">
        <f>SUMIF($D$8:$D$83,"=V",H8:H83)</f>
        <v>12.347000000000001</v>
      </c>
    </row>
    <row r="91" spans="3:5" ht="12.75">
      <c r="C91" s="8"/>
      <c r="D91" s="8"/>
      <c r="E91" s="4"/>
    </row>
    <row r="92" spans="1:5" ht="12.75">
      <c r="A92" s="31"/>
      <c r="C92" s="8"/>
      <c r="D92" s="8"/>
      <c r="E92" s="4"/>
    </row>
    <row r="93" spans="3:5" ht="12.75">
      <c r="C93" s="6"/>
      <c r="D93" s="6"/>
      <c r="E93" s="4"/>
    </row>
    <row r="94" spans="3:5" ht="12.75">
      <c r="C94" s="8"/>
      <c r="D94" s="8"/>
      <c r="E94" s="4"/>
    </row>
    <row r="95" spans="3:5" ht="12.75">
      <c r="C95" s="7"/>
      <c r="D95" s="7"/>
      <c r="E95" s="5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</sheetData>
  <sheetProtection/>
  <mergeCells count="330">
    <mergeCell ref="A72:A73"/>
    <mergeCell ref="B72:B73"/>
    <mergeCell ref="C72:C73"/>
    <mergeCell ref="D72:D73"/>
    <mergeCell ref="E72:E73"/>
    <mergeCell ref="G72:G73"/>
    <mergeCell ref="H72:H73"/>
    <mergeCell ref="G74:G75"/>
    <mergeCell ref="G12:G13"/>
    <mergeCell ref="H20:H21"/>
    <mergeCell ref="H60:H61"/>
    <mergeCell ref="H16:H17"/>
    <mergeCell ref="H24:H25"/>
    <mergeCell ref="G78:G79"/>
    <mergeCell ref="H74:H75"/>
    <mergeCell ref="G26:G27"/>
    <mergeCell ref="H26:H27"/>
    <mergeCell ref="G62:G63"/>
    <mergeCell ref="E80:E81"/>
    <mergeCell ref="G80:G81"/>
    <mergeCell ref="E68:E69"/>
    <mergeCell ref="H80:H81"/>
    <mergeCell ref="G76:G77"/>
    <mergeCell ref="E14:E15"/>
    <mergeCell ref="E20:E21"/>
    <mergeCell ref="F68:F69"/>
    <mergeCell ref="F14:F15"/>
    <mergeCell ref="F10:F11"/>
    <mergeCell ref="F12:F13"/>
    <mergeCell ref="E24:E25"/>
    <mergeCell ref="F36:F37"/>
    <mergeCell ref="F66:F67"/>
    <mergeCell ref="F62:F63"/>
    <mergeCell ref="H76:H77"/>
    <mergeCell ref="G68:G69"/>
    <mergeCell ref="H78:H79"/>
    <mergeCell ref="G10:G11"/>
    <mergeCell ref="H10:H11"/>
    <mergeCell ref="G14:G15"/>
    <mergeCell ref="H68:H69"/>
    <mergeCell ref="H36:H37"/>
    <mergeCell ref="G66:G67"/>
    <mergeCell ref="H62:H63"/>
    <mergeCell ref="A36:A37"/>
    <mergeCell ref="A80:A81"/>
    <mergeCell ref="C78:C79"/>
    <mergeCell ref="B38:B39"/>
    <mergeCell ref="C38:C39"/>
    <mergeCell ref="A74:A75"/>
    <mergeCell ref="B74:B75"/>
    <mergeCell ref="B40:B41"/>
    <mergeCell ref="C40:C41"/>
    <mergeCell ref="A42:A43"/>
    <mergeCell ref="D78:D79"/>
    <mergeCell ref="A78:A79"/>
    <mergeCell ref="B78:B79"/>
    <mergeCell ref="B80:B81"/>
    <mergeCell ref="D74:D75"/>
    <mergeCell ref="A20:A21"/>
    <mergeCell ref="A24:A25"/>
    <mergeCell ref="A28:A29"/>
    <mergeCell ref="B24:B25"/>
    <mergeCell ref="B28:B29"/>
    <mergeCell ref="B42:B43"/>
    <mergeCell ref="D42:D43"/>
    <mergeCell ref="A76:A77"/>
    <mergeCell ref="B76:B77"/>
    <mergeCell ref="C76:C77"/>
    <mergeCell ref="D46:D47"/>
    <mergeCell ref="C64:C65"/>
    <mergeCell ref="A46:A47"/>
    <mergeCell ref="B46:B47"/>
    <mergeCell ref="C46:C47"/>
    <mergeCell ref="B34:B35"/>
    <mergeCell ref="C34:C35"/>
    <mergeCell ref="A34:A35"/>
    <mergeCell ref="C44:C45"/>
    <mergeCell ref="C74:C75"/>
    <mergeCell ref="A38:A39"/>
    <mergeCell ref="A40:A41"/>
    <mergeCell ref="C36:C37"/>
    <mergeCell ref="A64:A65"/>
    <mergeCell ref="B64:B65"/>
    <mergeCell ref="A30:A31"/>
    <mergeCell ref="C32:C33"/>
    <mergeCell ref="C28:C29"/>
    <mergeCell ref="A14:A15"/>
    <mergeCell ref="B20:B21"/>
    <mergeCell ref="A16:A17"/>
    <mergeCell ref="B16:B17"/>
    <mergeCell ref="A32:A33"/>
    <mergeCell ref="A26:A27"/>
    <mergeCell ref="B26:B27"/>
    <mergeCell ref="D24:D25"/>
    <mergeCell ref="B14:B15"/>
    <mergeCell ref="C20:C21"/>
    <mergeCell ref="D20:D21"/>
    <mergeCell ref="B18:B19"/>
    <mergeCell ref="D18:D19"/>
    <mergeCell ref="C16:C17"/>
    <mergeCell ref="D32:D33"/>
    <mergeCell ref="A68:A69"/>
    <mergeCell ref="B68:B69"/>
    <mergeCell ref="C68:C69"/>
    <mergeCell ref="A12:A13"/>
    <mergeCell ref="C10:C11"/>
    <mergeCell ref="B12:B13"/>
    <mergeCell ref="C12:C13"/>
    <mergeCell ref="A10:A11"/>
    <mergeCell ref="C24:C25"/>
    <mergeCell ref="C26:C27"/>
    <mergeCell ref="D26:D27"/>
    <mergeCell ref="C30:C31"/>
    <mergeCell ref="E30:E31"/>
    <mergeCell ref="D30:D31"/>
    <mergeCell ref="E28:E29"/>
    <mergeCell ref="D28:D29"/>
    <mergeCell ref="E74:E75"/>
    <mergeCell ref="F18:F19"/>
    <mergeCell ref="G18:G19"/>
    <mergeCell ref="G20:G21"/>
    <mergeCell ref="E26:E27"/>
    <mergeCell ref="F28:F29"/>
    <mergeCell ref="F74:F75"/>
    <mergeCell ref="E32:E33"/>
    <mergeCell ref="F72:F73"/>
    <mergeCell ref="F24:F25"/>
    <mergeCell ref="C66:C67"/>
    <mergeCell ref="D66:D67"/>
    <mergeCell ref="C62:C63"/>
    <mergeCell ref="D62:D63"/>
    <mergeCell ref="E10:E11"/>
    <mergeCell ref="E12:E13"/>
    <mergeCell ref="E66:E67"/>
    <mergeCell ref="E62:E63"/>
    <mergeCell ref="E60:E61"/>
    <mergeCell ref="D56:D57"/>
    <mergeCell ref="D68:D69"/>
    <mergeCell ref="D10:D11"/>
    <mergeCell ref="D12:D13"/>
    <mergeCell ref="A62:A63"/>
    <mergeCell ref="B62:B63"/>
    <mergeCell ref="A66:A67"/>
    <mergeCell ref="B66:B67"/>
    <mergeCell ref="A56:A57"/>
    <mergeCell ref="B56:B57"/>
    <mergeCell ref="C56:C57"/>
    <mergeCell ref="F60:F61"/>
    <mergeCell ref="G60:G61"/>
    <mergeCell ref="F58:F59"/>
    <mergeCell ref="H58:H59"/>
    <mergeCell ref="G58:G59"/>
    <mergeCell ref="E58:E59"/>
    <mergeCell ref="E56:E57"/>
    <mergeCell ref="F56:F57"/>
    <mergeCell ref="F54:F55"/>
    <mergeCell ref="G54:G55"/>
    <mergeCell ref="H54:H55"/>
    <mergeCell ref="E54:E55"/>
    <mergeCell ref="A54:A55"/>
    <mergeCell ref="B54:B55"/>
    <mergeCell ref="C54:C55"/>
    <mergeCell ref="D54:D55"/>
    <mergeCell ref="A50:A51"/>
    <mergeCell ref="C50:C51"/>
    <mergeCell ref="D50:D51"/>
    <mergeCell ref="A52:A53"/>
    <mergeCell ref="B52:B53"/>
    <mergeCell ref="C52:C53"/>
    <mergeCell ref="D52:D53"/>
    <mergeCell ref="G50:G51"/>
    <mergeCell ref="H50:H51"/>
    <mergeCell ref="F8:F9"/>
    <mergeCell ref="E8:E9"/>
    <mergeCell ref="G8:G9"/>
    <mergeCell ref="G52:G53"/>
    <mergeCell ref="H52:H53"/>
    <mergeCell ref="E52:E53"/>
    <mergeCell ref="F52:F53"/>
    <mergeCell ref="A1:N1"/>
    <mergeCell ref="A2:N2"/>
    <mergeCell ref="A3:N3"/>
    <mergeCell ref="E5:E7"/>
    <mergeCell ref="J6:K6"/>
    <mergeCell ref="C5:C7"/>
    <mergeCell ref="D5:D7"/>
    <mergeCell ref="I5:K5"/>
    <mergeCell ref="A5:A7"/>
    <mergeCell ref="G6:G7"/>
    <mergeCell ref="A8:A9"/>
    <mergeCell ref="B8:B9"/>
    <mergeCell ref="C8:C9"/>
    <mergeCell ref="D8:D9"/>
    <mergeCell ref="H82:H83"/>
    <mergeCell ref="A82:A83"/>
    <mergeCell ref="B82:B83"/>
    <mergeCell ref="C82:C83"/>
    <mergeCell ref="D82:D83"/>
    <mergeCell ref="F78:F79"/>
    <mergeCell ref="F5:F7"/>
    <mergeCell ref="G5:H5"/>
    <mergeCell ref="E82:E83"/>
    <mergeCell ref="F82:F83"/>
    <mergeCell ref="G82:G83"/>
    <mergeCell ref="E50:E51"/>
    <mergeCell ref="F50:F51"/>
    <mergeCell ref="E16:E17"/>
    <mergeCell ref="E18:E19"/>
    <mergeCell ref="E76:E77"/>
    <mergeCell ref="L5:N5"/>
    <mergeCell ref="M6:N6"/>
    <mergeCell ref="L6:L7"/>
    <mergeCell ref="H18:H19"/>
    <mergeCell ref="H8:H9"/>
    <mergeCell ref="H66:H67"/>
    <mergeCell ref="I6:I7"/>
    <mergeCell ref="H12:H13"/>
    <mergeCell ref="H6:H7"/>
    <mergeCell ref="H14:H15"/>
    <mergeCell ref="F76:F77"/>
    <mergeCell ref="D36:D37"/>
    <mergeCell ref="B32:B33"/>
    <mergeCell ref="D76:D77"/>
    <mergeCell ref="F32:F33"/>
    <mergeCell ref="F34:F35"/>
    <mergeCell ref="B36:B37"/>
    <mergeCell ref="B44:B45"/>
    <mergeCell ref="F40:F41"/>
    <mergeCell ref="F44:F45"/>
    <mergeCell ref="A84:A85"/>
    <mergeCell ref="C84:C85"/>
    <mergeCell ref="D84:D85"/>
    <mergeCell ref="F38:F39"/>
    <mergeCell ref="A44:A45"/>
    <mergeCell ref="C80:C81"/>
    <mergeCell ref="F80:F81"/>
    <mergeCell ref="D80:D81"/>
    <mergeCell ref="E78:E79"/>
    <mergeCell ref="E40:E41"/>
    <mergeCell ref="H84:H85"/>
    <mergeCell ref="F84:F85"/>
    <mergeCell ref="G84:G85"/>
    <mergeCell ref="E84:E85"/>
    <mergeCell ref="F26:F27"/>
    <mergeCell ref="D14:D15"/>
    <mergeCell ref="D16:D17"/>
    <mergeCell ref="E22:E23"/>
    <mergeCell ref="F22:F23"/>
    <mergeCell ref="F16:F17"/>
    <mergeCell ref="C86:C90"/>
    <mergeCell ref="B5:B7"/>
    <mergeCell ref="B10:B11"/>
    <mergeCell ref="C14:C15"/>
    <mergeCell ref="C42:C43"/>
    <mergeCell ref="B50:B51"/>
    <mergeCell ref="B30:B31"/>
    <mergeCell ref="C70:C71"/>
    <mergeCell ref="C18:C19"/>
    <mergeCell ref="B60:B61"/>
    <mergeCell ref="A60:A61"/>
    <mergeCell ref="C60:C61"/>
    <mergeCell ref="D60:D61"/>
    <mergeCell ref="A58:A59"/>
    <mergeCell ref="B58:B59"/>
    <mergeCell ref="C58:C59"/>
    <mergeCell ref="D58:D59"/>
    <mergeCell ref="G16:G17"/>
    <mergeCell ref="A22:A23"/>
    <mergeCell ref="B22:B23"/>
    <mergeCell ref="C22:C23"/>
    <mergeCell ref="D22:D23"/>
    <mergeCell ref="F20:F21"/>
    <mergeCell ref="A18:A19"/>
    <mergeCell ref="G24:G25"/>
    <mergeCell ref="G22:G23"/>
    <mergeCell ref="H22:H23"/>
    <mergeCell ref="H28:H29"/>
    <mergeCell ref="G28:G29"/>
    <mergeCell ref="G32:G33"/>
    <mergeCell ref="E38:E39"/>
    <mergeCell ref="H32:H33"/>
    <mergeCell ref="F30:F31"/>
    <mergeCell ref="G34:G35"/>
    <mergeCell ref="H30:H31"/>
    <mergeCell ref="G30:G31"/>
    <mergeCell ref="D38:D39"/>
    <mergeCell ref="H34:H35"/>
    <mergeCell ref="D34:D35"/>
    <mergeCell ref="G38:G39"/>
    <mergeCell ref="H38:H39"/>
    <mergeCell ref="G36:G37"/>
    <mergeCell ref="E36:E37"/>
    <mergeCell ref="E34:E35"/>
    <mergeCell ref="E42:E43"/>
    <mergeCell ref="G42:G43"/>
    <mergeCell ref="H42:H43"/>
    <mergeCell ref="F42:F43"/>
    <mergeCell ref="E44:E45"/>
    <mergeCell ref="G40:G41"/>
    <mergeCell ref="H40:H41"/>
    <mergeCell ref="D40:D41"/>
    <mergeCell ref="D44:D45"/>
    <mergeCell ref="G44:G45"/>
    <mergeCell ref="H44:H45"/>
    <mergeCell ref="F46:F47"/>
    <mergeCell ref="G46:G47"/>
    <mergeCell ref="H46:H47"/>
    <mergeCell ref="G70:G71"/>
    <mergeCell ref="H70:H71"/>
    <mergeCell ref="E48:E49"/>
    <mergeCell ref="F48:F49"/>
    <mergeCell ref="G48:G49"/>
    <mergeCell ref="G56:G57"/>
    <mergeCell ref="H56:H57"/>
    <mergeCell ref="A70:A71"/>
    <mergeCell ref="B70:B71"/>
    <mergeCell ref="H48:H49"/>
    <mergeCell ref="A48:A49"/>
    <mergeCell ref="B48:B49"/>
    <mergeCell ref="C48:C49"/>
    <mergeCell ref="D48:D49"/>
    <mergeCell ref="E46:E47"/>
    <mergeCell ref="E64:E65"/>
    <mergeCell ref="F64:F65"/>
    <mergeCell ref="G64:G65"/>
    <mergeCell ref="H64:H65"/>
    <mergeCell ref="D70:D71"/>
    <mergeCell ref="D64:D65"/>
    <mergeCell ref="E70:E71"/>
    <mergeCell ref="F70:F71"/>
  </mergeCells>
  <printOptions/>
  <pageMargins left="0.5511811023622047" right="0.5511811023622047" top="0.984251968503937" bottom="0.5118110236220472" header="0.5118110236220472" footer="0.5118110236220472"/>
  <pageSetup firstPageNumber="36" useFirstPageNumber="1" fitToHeight="0" fitToWidth="1" horizontalDpi="300" verticalDpi="300" orientation="landscape" paperSize="9" scale="97" r:id="rId1"/>
  <headerFooter alignWithMargins="0">
    <oddFooter>&amp;CСтраница &amp;P</oddFooter>
  </headerFooter>
  <rowBreaks count="1" manualBreakCount="1">
    <brk id="47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91"/>
  <sheetViews>
    <sheetView view="pageBreakPreview" zoomScaleSheetLayoutView="100" zoomScalePageLayoutView="0" workbookViewId="0" topLeftCell="C1">
      <selection activeCell="O1" sqref="O1:AB16384"/>
    </sheetView>
  </sheetViews>
  <sheetFormatPr defaultColWidth="9.00390625" defaultRowHeight="12.75"/>
  <cols>
    <col min="1" max="1" width="4.25390625" style="0" customWidth="1"/>
    <col min="2" max="2" width="12.375" style="53" customWidth="1"/>
    <col min="3" max="3" width="36.375" style="0" customWidth="1"/>
    <col min="4" max="4" width="9.25390625" style="0" customWidth="1"/>
    <col min="5" max="5" width="8.25390625" style="0" customWidth="1"/>
    <col min="6" max="6" width="9.375" style="0" customWidth="1"/>
    <col min="7" max="7" width="10.00390625" style="0" bestFit="1" customWidth="1"/>
    <col min="8" max="8" width="7.75390625" style="0" customWidth="1"/>
    <col min="9" max="9" width="6.37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25.5" customHeight="1">
      <c r="A2" s="1809" t="s">
        <v>1520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ht="10.5" customHeight="1" thickBot="1"/>
    <row r="4" spans="1:14" s="1" customFormat="1" ht="12.75" customHeight="1" thickBot="1">
      <c r="A4" s="1208" t="s">
        <v>9</v>
      </c>
      <c r="B4" s="1203" t="s">
        <v>735</v>
      </c>
      <c r="C4" s="1209" t="s">
        <v>455</v>
      </c>
      <c r="D4" s="1203" t="s">
        <v>231</v>
      </c>
      <c r="E4" s="1211" t="s">
        <v>622</v>
      </c>
      <c r="F4" s="1203" t="s">
        <v>623</v>
      </c>
      <c r="G4" s="1209" t="s">
        <v>4</v>
      </c>
      <c r="H4" s="1209"/>
      <c r="I4" s="1208" t="s">
        <v>458</v>
      </c>
      <c r="J4" s="1209"/>
      <c r="K4" s="1210"/>
      <c r="L4" s="1216" t="s">
        <v>19</v>
      </c>
      <c r="M4" s="1217"/>
      <c r="N4" s="1218"/>
    </row>
    <row r="5" spans="1:14" s="1" customFormat="1" ht="13.5" customHeight="1" thickBot="1">
      <c r="A5" s="1226"/>
      <c r="B5" s="1204"/>
      <c r="C5" s="1214"/>
      <c r="D5" s="1207"/>
      <c r="E5" s="1212"/>
      <c r="F5" s="1204"/>
      <c r="G5" s="1203" t="s">
        <v>456</v>
      </c>
      <c r="H5" s="1224" t="s">
        <v>457</v>
      </c>
      <c r="I5" s="1222" t="s">
        <v>5</v>
      </c>
      <c r="J5" s="1220" t="s">
        <v>4</v>
      </c>
      <c r="K5" s="1221"/>
      <c r="L5" s="1222" t="s">
        <v>5</v>
      </c>
      <c r="M5" s="1219" t="s">
        <v>4</v>
      </c>
      <c r="N5" s="1218"/>
    </row>
    <row r="6" spans="1:14" s="1" customFormat="1" ht="13.5" customHeight="1" thickBot="1">
      <c r="A6" s="1227"/>
      <c r="B6" s="1205"/>
      <c r="C6" s="1215"/>
      <c r="D6" s="1206"/>
      <c r="E6" s="1213"/>
      <c r="F6" s="1205"/>
      <c r="G6" s="1206"/>
      <c r="H6" s="1225"/>
      <c r="I6" s="1223"/>
      <c r="J6" s="50" t="s">
        <v>6</v>
      </c>
      <c r="K6" s="73" t="s">
        <v>7</v>
      </c>
      <c r="L6" s="1223"/>
      <c r="M6" s="73" t="s">
        <v>6</v>
      </c>
      <c r="N6" s="73" t="s">
        <v>7</v>
      </c>
    </row>
    <row r="7" spans="1:14" s="1" customFormat="1" ht="12" customHeight="1">
      <c r="A7" s="1661">
        <v>1</v>
      </c>
      <c r="B7" s="1596" t="s">
        <v>1203</v>
      </c>
      <c r="C7" s="1828" t="s">
        <v>76</v>
      </c>
      <c r="D7" s="1830" t="s">
        <v>102</v>
      </c>
      <c r="E7" s="1832" t="s">
        <v>354</v>
      </c>
      <c r="F7" s="1596">
        <f>G7+H7</f>
        <v>9.6</v>
      </c>
      <c r="G7" s="1656">
        <v>9.6</v>
      </c>
      <c r="H7" s="1656">
        <v>0</v>
      </c>
      <c r="I7" s="370">
        <f aca="true" t="shared" si="0" ref="I7:I56">J7+K7</f>
        <v>1</v>
      </c>
      <c r="J7" s="573">
        <v>1</v>
      </c>
      <c r="K7" s="371">
        <v>0</v>
      </c>
      <c r="L7" s="370">
        <f aca="true" t="shared" si="1" ref="L7:L56">M7+N7</f>
        <v>8</v>
      </c>
      <c r="M7" s="573">
        <v>8</v>
      </c>
      <c r="N7" s="370">
        <v>0</v>
      </c>
    </row>
    <row r="8" spans="1:14" s="1" customFormat="1" ht="12.75" thickBot="1">
      <c r="A8" s="1662"/>
      <c r="B8" s="1597"/>
      <c r="C8" s="1829"/>
      <c r="D8" s="1831"/>
      <c r="E8" s="1833"/>
      <c r="F8" s="1597"/>
      <c r="G8" s="1657"/>
      <c r="H8" s="1657"/>
      <c r="I8" s="574">
        <f t="shared" si="0"/>
        <v>132.5</v>
      </c>
      <c r="J8" s="575">
        <v>132.5</v>
      </c>
      <c r="K8" s="568">
        <v>0</v>
      </c>
      <c r="L8" s="352">
        <f t="shared" si="1"/>
        <v>173</v>
      </c>
      <c r="M8" s="501">
        <v>173</v>
      </c>
      <c r="N8" s="352">
        <v>0</v>
      </c>
    </row>
    <row r="9" spans="1:14" s="266" customFormat="1" ht="12">
      <c r="A9" s="1228">
        <v>2</v>
      </c>
      <c r="B9" s="1189" t="s">
        <v>779</v>
      </c>
      <c r="C9" s="1191" t="s">
        <v>77</v>
      </c>
      <c r="D9" s="1199" t="s">
        <v>102</v>
      </c>
      <c r="E9" s="1199" t="s">
        <v>355</v>
      </c>
      <c r="F9" s="1189">
        <f>G9+H9</f>
        <v>33.7</v>
      </c>
      <c r="G9" s="1197">
        <v>33.7</v>
      </c>
      <c r="H9" s="1197">
        <v>0</v>
      </c>
      <c r="I9" s="502">
        <f t="shared" si="0"/>
        <v>1</v>
      </c>
      <c r="J9" s="506">
        <v>1</v>
      </c>
      <c r="K9" s="504">
        <v>0</v>
      </c>
      <c r="L9" s="502">
        <f t="shared" si="1"/>
        <v>25</v>
      </c>
      <c r="M9" s="506">
        <v>22</v>
      </c>
      <c r="N9" s="502">
        <v>3</v>
      </c>
    </row>
    <row r="10" spans="1:14" s="266" customFormat="1" ht="29.25" customHeight="1" thickBot="1">
      <c r="A10" s="1229"/>
      <c r="B10" s="1190"/>
      <c r="C10" s="1192"/>
      <c r="D10" s="1200"/>
      <c r="E10" s="1200"/>
      <c r="F10" s="1190"/>
      <c r="G10" s="1198"/>
      <c r="H10" s="1198"/>
      <c r="I10" s="895">
        <f t="shared" si="0"/>
        <v>178.89</v>
      </c>
      <c r="J10" s="953">
        <v>178.89</v>
      </c>
      <c r="K10" s="924">
        <v>0</v>
      </c>
      <c r="L10" s="891">
        <f t="shared" si="1"/>
        <v>635</v>
      </c>
      <c r="M10" s="953">
        <v>606</v>
      </c>
      <c r="N10" s="891">
        <v>29</v>
      </c>
    </row>
    <row r="11" spans="1:14" s="266" customFormat="1" ht="12">
      <c r="A11" s="1167">
        <v>3</v>
      </c>
      <c r="B11" s="1169" t="s">
        <v>1108</v>
      </c>
      <c r="C11" s="1182" t="s">
        <v>356</v>
      </c>
      <c r="D11" s="1173" t="s">
        <v>27</v>
      </c>
      <c r="E11" s="1169" t="s">
        <v>33</v>
      </c>
      <c r="F11" s="1169">
        <f>G11+H11</f>
        <v>4.4</v>
      </c>
      <c r="G11" s="1178">
        <v>2.8</v>
      </c>
      <c r="H11" s="1178">
        <v>1.6</v>
      </c>
      <c r="I11" s="644">
        <f t="shared" si="0"/>
        <v>0</v>
      </c>
      <c r="J11" s="645">
        <v>0</v>
      </c>
      <c r="K11" s="646">
        <v>0</v>
      </c>
      <c r="L11" s="644">
        <f t="shared" si="1"/>
        <v>7</v>
      </c>
      <c r="M11" s="645">
        <v>4</v>
      </c>
      <c r="N11" s="644">
        <v>3</v>
      </c>
    </row>
    <row r="12" spans="1:14" s="266" customFormat="1" ht="12.75" thickBot="1">
      <c r="A12" s="1168"/>
      <c r="B12" s="1170"/>
      <c r="C12" s="1183"/>
      <c r="D12" s="1174"/>
      <c r="E12" s="1170"/>
      <c r="F12" s="1170"/>
      <c r="G12" s="1179"/>
      <c r="H12" s="1179"/>
      <c r="I12" s="883">
        <f t="shared" si="0"/>
        <v>0</v>
      </c>
      <c r="J12" s="990">
        <v>0</v>
      </c>
      <c r="K12" s="915">
        <v>0</v>
      </c>
      <c r="L12" s="883">
        <f t="shared" si="1"/>
        <v>112</v>
      </c>
      <c r="M12" s="990">
        <v>69</v>
      </c>
      <c r="N12" s="883">
        <v>43</v>
      </c>
    </row>
    <row r="13" spans="1:14" s="266" customFormat="1" ht="12">
      <c r="A13" s="1167">
        <v>4</v>
      </c>
      <c r="B13" s="1356" t="s">
        <v>1109</v>
      </c>
      <c r="C13" s="1182" t="s">
        <v>357</v>
      </c>
      <c r="D13" s="1230" t="s">
        <v>509</v>
      </c>
      <c r="E13" s="1826" t="s">
        <v>687</v>
      </c>
      <c r="F13" s="1184">
        <f>G13+H13</f>
        <v>70</v>
      </c>
      <c r="G13" s="1184">
        <f>G15+G16</f>
        <v>57.77</v>
      </c>
      <c r="H13" s="1184">
        <f>H15+H16</f>
        <v>12.23</v>
      </c>
      <c r="I13" s="644">
        <f t="shared" si="0"/>
        <v>6</v>
      </c>
      <c r="J13" s="645">
        <v>6</v>
      </c>
      <c r="K13" s="648">
        <v>0</v>
      </c>
      <c r="L13" s="644">
        <f t="shared" si="1"/>
        <v>71</v>
      </c>
      <c r="M13" s="645">
        <v>59</v>
      </c>
      <c r="N13" s="644">
        <v>12</v>
      </c>
    </row>
    <row r="14" spans="1:14" s="266" customFormat="1" ht="12.75" customHeight="1">
      <c r="A14" s="1163"/>
      <c r="B14" s="1337"/>
      <c r="C14" s="1332"/>
      <c r="D14" s="1333"/>
      <c r="E14" s="1827"/>
      <c r="F14" s="1162"/>
      <c r="G14" s="1162"/>
      <c r="H14" s="1162"/>
      <c r="I14" s="878">
        <f t="shared" si="0"/>
        <v>54.27</v>
      </c>
      <c r="J14" s="764">
        <v>54.27</v>
      </c>
      <c r="K14" s="606">
        <v>0</v>
      </c>
      <c r="L14" s="880">
        <f t="shared" si="1"/>
        <v>1565</v>
      </c>
      <c r="M14" s="605">
        <v>1436</v>
      </c>
      <c r="N14" s="880">
        <v>129</v>
      </c>
    </row>
    <row r="15" spans="1:14" s="266" customFormat="1" ht="22.5">
      <c r="A15" s="1163"/>
      <c r="B15" s="1166"/>
      <c r="C15" s="679" t="s">
        <v>506</v>
      </c>
      <c r="D15" s="765" t="s">
        <v>102</v>
      </c>
      <c r="E15" s="766" t="s">
        <v>688</v>
      </c>
      <c r="F15" s="705">
        <f>G15+H15</f>
        <v>32.6</v>
      </c>
      <c r="G15" s="705">
        <v>32.6</v>
      </c>
      <c r="H15" s="821">
        <v>0</v>
      </c>
      <c r="I15" s="767"/>
      <c r="J15" s="768"/>
      <c r="K15" s="769"/>
      <c r="L15" s="768"/>
      <c r="M15" s="769"/>
      <c r="N15" s="768"/>
    </row>
    <row r="16" spans="1:14" s="266" customFormat="1" ht="13.5" customHeight="1" thickBot="1">
      <c r="A16" s="1168"/>
      <c r="B16" s="1174"/>
      <c r="C16" s="608"/>
      <c r="D16" s="884" t="s">
        <v>27</v>
      </c>
      <c r="E16" s="886" t="s">
        <v>510</v>
      </c>
      <c r="F16" s="887">
        <f>G16+H16</f>
        <v>37.400000000000006</v>
      </c>
      <c r="G16" s="887">
        <v>25.17</v>
      </c>
      <c r="H16" s="925">
        <v>12.23</v>
      </c>
      <c r="I16" s="915"/>
      <c r="J16" s="883"/>
      <c r="K16" s="611"/>
      <c r="L16" s="883"/>
      <c r="M16" s="611"/>
      <c r="N16" s="883"/>
    </row>
    <row r="17" spans="1:14" s="266" customFormat="1" ht="12">
      <c r="A17" s="1167">
        <v>5</v>
      </c>
      <c r="B17" s="1169" t="s">
        <v>1110</v>
      </c>
      <c r="C17" s="1182" t="s">
        <v>438</v>
      </c>
      <c r="D17" s="1173" t="s">
        <v>27</v>
      </c>
      <c r="E17" s="1180" t="s">
        <v>717</v>
      </c>
      <c r="F17" s="1169">
        <f>G17+H17</f>
        <v>37.936</v>
      </c>
      <c r="G17" s="1184">
        <v>3.572</v>
      </c>
      <c r="H17" s="1184">
        <v>34.364</v>
      </c>
      <c r="I17" s="644">
        <f t="shared" si="0"/>
        <v>3</v>
      </c>
      <c r="J17" s="648">
        <v>3</v>
      </c>
      <c r="K17" s="646">
        <v>0</v>
      </c>
      <c r="L17" s="644">
        <f t="shared" si="1"/>
        <v>37</v>
      </c>
      <c r="M17" s="648">
        <v>35</v>
      </c>
      <c r="N17" s="644">
        <v>2</v>
      </c>
    </row>
    <row r="18" spans="1:14" s="266" customFormat="1" ht="12.75" thickBot="1">
      <c r="A18" s="1168"/>
      <c r="B18" s="1170"/>
      <c r="C18" s="1183"/>
      <c r="D18" s="1174"/>
      <c r="E18" s="1181"/>
      <c r="F18" s="1170"/>
      <c r="G18" s="1185"/>
      <c r="H18" s="1185"/>
      <c r="I18" s="883">
        <f t="shared" si="0"/>
        <v>79.43</v>
      </c>
      <c r="J18" s="611">
        <v>79.43</v>
      </c>
      <c r="K18" s="915">
        <v>0</v>
      </c>
      <c r="L18" s="883">
        <f t="shared" si="1"/>
        <v>870</v>
      </c>
      <c r="M18" s="611">
        <v>828</v>
      </c>
      <c r="N18" s="883">
        <v>42</v>
      </c>
    </row>
    <row r="19" spans="1:14" s="266" customFormat="1" ht="12">
      <c r="A19" s="1167">
        <v>6</v>
      </c>
      <c r="B19" s="1169" t="s">
        <v>1111</v>
      </c>
      <c r="C19" s="1182" t="s">
        <v>490</v>
      </c>
      <c r="D19" s="1173" t="s">
        <v>102</v>
      </c>
      <c r="E19" s="1169" t="s">
        <v>718</v>
      </c>
      <c r="F19" s="1184">
        <f>G19+H19</f>
        <v>6.75</v>
      </c>
      <c r="G19" s="1184">
        <v>6.75</v>
      </c>
      <c r="H19" s="1178">
        <v>0</v>
      </c>
      <c r="I19" s="644">
        <f t="shared" si="0"/>
        <v>0</v>
      </c>
      <c r="J19" s="645">
        <v>0</v>
      </c>
      <c r="K19" s="646">
        <v>0</v>
      </c>
      <c r="L19" s="644">
        <f t="shared" si="1"/>
        <v>17</v>
      </c>
      <c r="M19" s="645">
        <v>7</v>
      </c>
      <c r="N19" s="644">
        <v>10</v>
      </c>
    </row>
    <row r="20" spans="1:14" s="266" customFormat="1" ht="12.75" thickBot="1">
      <c r="A20" s="1168"/>
      <c r="B20" s="1170"/>
      <c r="C20" s="1183"/>
      <c r="D20" s="1174"/>
      <c r="E20" s="1170"/>
      <c r="F20" s="1185"/>
      <c r="G20" s="1185"/>
      <c r="H20" s="1179"/>
      <c r="I20" s="883">
        <f t="shared" si="0"/>
        <v>0</v>
      </c>
      <c r="J20" s="990">
        <v>0</v>
      </c>
      <c r="K20" s="915">
        <v>0</v>
      </c>
      <c r="L20" s="883">
        <f t="shared" si="1"/>
        <v>302</v>
      </c>
      <c r="M20" s="990">
        <v>209</v>
      </c>
      <c r="N20" s="883">
        <v>93</v>
      </c>
    </row>
    <row r="21" spans="1:14" s="266" customFormat="1" ht="12">
      <c r="A21" s="1167">
        <v>7</v>
      </c>
      <c r="B21" s="1169" t="s">
        <v>1112</v>
      </c>
      <c r="C21" s="1232" t="s">
        <v>439</v>
      </c>
      <c r="D21" s="1173" t="s">
        <v>27</v>
      </c>
      <c r="E21" s="1169" t="s">
        <v>13</v>
      </c>
      <c r="F21" s="1169">
        <f>G21+H21</f>
        <v>1</v>
      </c>
      <c r="G21" s="1178">
        <v>1</v>
      </c>
      <c r="H21" s="1178">
        <v>0</v>
      </c>
      <c r="I21" s="644">
        <f aca="true" t="shared" si="2" ref="I21:I26">J21+K21</f>
        <v>0</v>
      </c>
      <c r="J21" s="645">
        <v>0</v>
      </c>
      <c r="K21" s="646">
        <v>0</v>
      </c>
      <c r="L21" s="644">
        <f aca="true" t="shared" si="3" ref="L21:L26">M21+N21</f>
        <v>1</v>
      </c>
      <c r="M21" s="645">
        <v>1</v>
      </c>
      <c r="N21" s="644">
        <v>0</v>
      </c>
    </row>
    <row r="22" spans="1:14" s="266" customFormat="1" ht="12.75" thickBot="1">
      <c r="A22" s="1168"/>
      <c r="B22" s="1170"/>
      <c r="C22" s="1233"/>
      <c r="D22" s="1174"/>
      <c r="E22" s="1170"/>
      <c r="F22" s="1170"/>
      <c r="G22" s="1179"/>
      <c r="H22" s="1179"/>
      <c r="I22" s="883">
        <f t="shared" si="2"/>
        <v>0</v>
      </c>
      <c r="J22" s="990">
        <v>0</v>
      </c>
      <c r="K22" s="915">
        <v>0</v>
      </c>
      <c r="L22" s="883">
        <f t="shared" si="3"/>
        <v>15</v>
      </c>
      <c r="M22" s="990">
        <v>15</v>
      </c>
      <c r="N22" s="883">
        <v>0</v>
      </c>
    </row>
    <row r="23" spans="1:14" s="266" customFormat="1" ht="12">
      <c r="A23" s="1167">
        <v>8</v>
      </c>
      <c r="B23" s="1334" t="s">
        <v>1113</v>
      </c>
      <c r="C23" s="1734" t="s">
        <v>358</v>
      </c>
      <c r="D23" s="1173" t="s">
        <v>102</v>
      </c>
      <c r="E23" s="1169" t="s">
        <v>190</v>
      </c>
      <c r="F23" s="1178">
        <f>G23+H23</f>
        <v>16.8</v>
      </c>
      <c r="G23" s="1178">
        <v>16.8</v>
      </c>
      <c r="H23" s="1178">
        <v>0</v>
      </c>
      <c r="I23" s="644">
        <f t="shared" si="2"/>
        <v>0</v>
      </c>
      <c r="J23" s="645">
        <v>0</v>
      </c>
      <c r="K23" s="646">
        <v>0</v>
      </c>
      <c r="L23" s="644">
        <f t="shared" si="3"/>
        <v>23</v>
      </c>
      <c r="M23" s="645">
        <v>19</v>
      </c>
      <c r="N23" s="644">
        <v>4</v>
      </c>
    </row>
    <row r="24" spans="1:14" s="266" customFormat="1" ht="12.75" thickBot="1">
      <c r="A24" s="1163"/>
      <c r="B24" s="1335"/>
      <c r="C24" s="1834"/>
      <c r="D24" s="1331"/>
      <c r="E24" s="1358"/>
      <c r="F24" s="1366"/>
      <c r="G24" s="1366"/>
      <c r="H24" s="1366"/>
      <c r="I24" s="880">
        <f t="shared" si="2"/>
        <v>0</v>
      </c>
      <c r="J24" s="605">
        <v>0</v>
      </c>
      <c r="K24" s="914">
        <v>0</v>
      </c>
      <c r="L24" s="880">
        <f t="shared" si="3"/>
        <v>624</v>
      </c>
      <c r="M24" s="605">
        <v>577</v>
      </c>
      <c r="N24" s="880">
        <v>47</v>
      </c>
    </row>
    <row r="25" spans="1:14" s="266" customFormat="1" ht="12">
      <c r="A25" s="1167">
        <v>9</v>
      </c>
      <c r="B25" s="1169" t="s">
        <v>1114</v>
      </c>
      <c r="C25" s="1182" t="s">
        <v>359</v>
      </c>
      <c r="D25" s="1173" t="s">
        <v>27</v>
      </c>
      <c r="E25" s="1169" t="s">
        <v>88</v>
      </c>
      <c r="F25" s="1169">
        <f>G25+H25</f>
        <v>6.4</v>
      </c>
      <c r="G25" s="1178">
        <v>0</v>
      </c>
      <c r="H25" s="1178">
        <v>6.4</v>
      </c>
      <c r="I25" s="644">
        <f t="shared" si="2"/>
        <v>0</v>
      </c>
      <c r="J25" s="645">
        <v>0</v>
      </c>
      <c r="K25" s="646">
        <v>0</v>
      </c>
      <c r="L25" s="644">
        <f t="shared" si="3"/>
        <v>6</v>
      </c>
      <c r="M25" s="645">
        <v>3</v>
      </c>
      <c r="N25" s="644">
        <v>3</v>
      </c>
    </row>
    <row r="26" spans="1:14" s="266" customFormat="1" ht="12.75" thickBot="1">
      <c r="A26" s="1168"/>
      <c r="B26" s="1170"/>
      <c r="C26" s="1183"/>
      <c r="D26" s="1174"/>
      <c r="E26" s="1170"/>
      <c r="F26" s="1170"/>
      <c r="G26" s="1179"/>
      <c r="H26" s="1179"/>
      <c r="I26" s="883">
        <f t="shared" si="2"/>
        <v>0</v>
      </c>
      <c r="J26" s="990">
        <v>0</v>
      </c>
      <c r="K26" s="915">
        <v>0</v>
      </c>
      <c r="L26" s="883">
        <f t="shared" si="3"/>
        <v>98</v>
      </c>
      <c r="M26" s="990">
        <v>63</v>
      </c>
      <c r="N26" s="883">
        <v>35</v>
      </c>
    </row>
    <row r="27" spans="1:14" s="266" customFormat="1" ht="12">
      <c r="A27" s="1167">
        <v>10</v>
      </c>
      <c r="B27" s="1169" t="s">
        <v>1115</v>
      </c>
      <c r="C27" s="1182" t="s">
        <v>446</v>
      </c>
      <c r="D27" s="1173" t="s">
        <v>102</v>
      </c>
      <c r="E27" s="1173" t="s">
        <v>39</v>
      </c>
      <c r="F27" s="1169">
        <f>G27+H27</f>
        <v>0.8</v>
      </c>
      <c r="G27" s="1169">
        <v>0.8</v>
      </c>
      <c r="H27" s="1169">
        <v>0</v>
      </c>
      <c r="I27" s="644">
        <f t="shared" si="0"/>
        <v>0</v>
      </c>
      <c r="J27" s="648">
        <v>0</v>
      </c>
      <c r="K27" s="646">
        <v>0</v>
      </c>
      <c r="L27" s="644">
        <f t="shared" si="1"/>
        <v>1</v>
      </c>
      <c r="M27" s="648">
        <v>0</v>
      </c>
      <c r="N27" s="644">
        <v>1</v>
      </c>
    </row>
    <row r="28" spans="1:14" s="266" customFormat="1" ht="12.75" thickBot="1">
      <c r="A28" s="1163"/>
      <c r="B28" s="1164"/>
      <c r="C28" s="1332"/>
      <c r="D28" s="1166"/>
      <c r="E28" s="1166"/>
      <c r="F28" s="1164"/>
      <c r="G28" s="1164"/>
      <c r="H28" s="1164"/>
      <c r="I28" s="880">
        <f t="shared" si="0"/>
        <v>0</v>
      </c>
      <c r="J28" s="606">
        <v>0</v>
      </c>
      <c r="K28" s="914">
        <v>0</v>
      </c>
      <c r="L28" s="880">
        <f t="shared" si="1"/>
        <v>12</v>
      </c>
      <c r="M28" s="606">
        <v>0</v>
      </c>
      <c r="N28" s="880">
        <v>12</v>
      </c>
    </row>
    <row r="29" spans="1:14" s="266" customFormat="1" ht="12">
      <c r="A29" s="1167">
        <v>11</v>
      </c>
      <c r="B29" s="1169" t="s">
        <v>1116</v>
      </c>
      <c r="C29" s="1182" t="s">
        <v>445</v>
      </c>
      <c r="D29" s="1173" t="s">
        <v>27</v>
      </c>
      <c r="E29" s="1169" t="s">
        <v>210</v>
      </c>
      <c r="F29" s="1178">
        <f>G29+H29</f>
        <v>7</v>
      </c>
      <c r="G29" s="1178">
        <v>0.8</v>
      </c>
      <c r="H29" s="1178">
        <v>6.2</v>
      </c>
      <c r="I29" s="644">
        <f t="shared" si="0"/>
        <v>0</v>
      </c>
      <c r="J29" s="645">
        <v>0</v>
      </c>
      <c r="K29" s="646">
        <v>0</v>
      </c>
      <c r="L29" s="644">
        <f t="shared" si="1"/>
        <v>6</v>
      </c>
      <c r="M29" s="645">
        <v>5</v>
      </c>
      <c r="N29" s="644">
        <v>1</v>
      </c>
    </row>
    <row r="30" spans="1:14" s="266" customFormat="1" ht="12.75" thickBot="1">
      <c r="A30" s="1168"/>
      <c r="B30" s="1170"/>
      <c r="C30" s="1183"/>
      <c r="D30" s="1174"/>
      <c r="E30" s="1170"/>
      <c r="F30" s="1170"/>
      <c r="G30" s="1179"/>
      <c r="H30" s="1179"/>
      <c r="I30" s="883">
        <f t="shared" si="0"/>
        <v>0</v>
      </c>
      <c r="J30" s="990">
        <v>0</v>
      </c>
      <c r="K30" s="915">
        <v>0</v>
      </c>
      <c r="L30" s="883">
        <f t="shared" si="1"/>
        <v>119</v>
      </c>
      <c r="M30" s="990">
        <v>114</v>
      </c>
      <c r="N30" s="883">
        <v>5</v>
      </c>
    </row>
    <row r="31" spans="1:14" s="266" customFormat="1" ht="12">
      <c r="A31" s="1167">
        <v>12</v>
      </c>
      <c r="B31" s="1169" t="s">
        <v>1117</v>
      </c>
      <c r="C31" s="1182" t="s">
        <v>360</v>
      </c>
      <c r="D31" s="1173" t="s">
        <v>102</v>
      </c>
      <c r="E31" s="1169" t="s">
        <v>719</v>
      </c>
      <c r="F31" s="1184">
        <f>G31+H31</f>
        <v>10.385</v>
      </c>
      <c r="G31" s="1184">
        <v>0.289</v>
      </c>
      <c r="H31" s="1184">
        <v>10.096</v>
      </c>
      <c r="I31" s="644">
        <f t="shared" si="0"/>
        <v>0</v>
      </c>
      <c r="J31" s="645">
        <v>0</v>
      </c>
      <c r="K31" s="646">
        <v>0</v>
      </c>
      <c r="L31" s="644">
        <f t="shared" si="1"/>
        <v>10</v>
      </c>
      <c r="M31" s="645">
        <v>10</v>
      </c>
      <c r="N31" s="644">
        <v>0</v>
      </c>
    </row>
    <row r="32" spans="1:14" s="266" customFormat="1" ht="12.75" thickBot="1">
      <c r="A32" s="1168"/>
      <c r="B32" s="1170"/>
      <c r="C32" s="1183"/>
      <c r="D32" s="1174"/>
      <c r="E32" s="1170"/>
      <c r="F32" s="1185"/>
      <c r="G32" s="1185"/>
      <c r="H32" s="1185"/>
      <c r="I32" s="883">
        <f t="shared" si="0"/>
        <v>0</v>
      </c>
      <c r="J32" s="990">
        <v>0</v>
      </c>
      <c r="K32" s="915">
        <v>0</v>
      </c>
      <c r="L32" s="883">
        <f t="shared" si="1"/>
        <v>169</v>
      </c>
      <c r="M32" s="990">
        <v>169</v>
      </c>
      <c r="N32" s="883">
        <v>0</v>
      </c>
    </row>
    <row r="33" spans="1:14" s="266" customFormat="1" ht="12">
      <c r="A33" s="1167">
        <v>13</v>
      </c>
      <c r="B33" s="1169" t="s">
        <v>1118</v>
      </c>
      <c r="C33" s="1182" t="s">
        <v>361</v>
      </c>
      <c r="D33" s="1173" t="s">
        <v>27</v>
      </c>
      <c r="E33" s="1173" t="s">
        <v>1485</v>
      </c>
      <c r="F33" s="1169">
        <f>G33+H33</f>
        <v>7.577</v>
      </c>
      <c r="G33" s="1178">
        <v>0</v>
      </c>
      <c r="H33" s="1184">
        <v>7.577</v>
      </c>
      <c r="I33" s="644">
        <f t="shared" si="0"/>
        <v>1</v>
      </c>
      <c r="J33" s="645">
        <v>1</v>
      </c>
      <c r="K33" s="646">
        <v>0</v>
      </c>
      <c r="L33" s="644">
        <f t="shared" si="1"/>
        <v>2</v>
      </c>
      <c r="M33" s="645">
        <v>2</v>
      </c>
      <c r="N33" s="644">
        <v>0</v>
      </c>
    </row>
    <row r="34" spans="1:14" s="266" customFormat="1" ht="12.75" thickBot="1">
      <c r="A34" s="1168"/>
      <c r="B34" s="1170"/>
      <c r="C34" s="1183"/>
      <c r="D34" s="1174"/>
      <c r="E34" s="1174"/>
      <c r="F34" s="1170"/>
      <c r="G34" s="1179"/>
      <c r="H34" s="1185"/>
      <c r="I34" s="883">
        <f t="shared" si="0"/>
        <v>60.14</v>
      </c>
      <c r="J34" s="990">
        <v>60.14</v>
      </c>
      <c r="K34" s="915">
        <v>0</v>
      </c>
      <c r="L34" s="883">
        <f t="shared" si="1"/>
        <v>49</v>
      </c>
      <c r="M34" s="990">
        <v>49</v>
      </c>
      <c r="N34" s="883">
        <v>0</v>
      </c>
    </row>
    <row r="35" spans="1:14" s="266" customFormat="1" ht="12" customHeight="1" hidden="1" thickBot="1">
      <c r="A35" s="1163"/>
      <c r="B35" s="1164"/>
      <c r="C35" s="1332"/>
      <c r="D35" s="1836"/>
      <c r="E35" s="1651"/>
      <c r="F35" s="1161"/>
      <c r="G35" s="1161"/>
      <c r="H35" s="1161"/>
      <c r="I35" s="652"/>
      <c r="J35" s="706"/>
      <c r="K35" s="653"/>
      <c r="L35" s="652"/>
      <c r="M35" s="706"/>
      <c r="N35" s="652"/>
    </row>
    <row r="36" spans="1:14" s="266" customFormat="1" ht="12" customHeight="1" hidden="1">
      <c r="A36" s="1163"/>
      <c r="B36" s="1164"/>
      <c r="C36" s="1332"/>
      <c r="D36" s="1836"/>
      <c r="E36" s="1651"/>
      <c r="F36" s="1161"/>
      <c r="G36" s="1161"/>
      <c r="H36" s="1161"/>
      <c r="I36" s="880"/>
      <c r="J36" s="605"/>
      <c r="K36" s="606"/>
      <c r="L36" s="880"/>
      <c r="M36" s="605"/>
      <c r="N36" s="880"/>
    </row>
    <row r="37" spans="1:14" s="266" customFormat="1" ht="12">
      <c r="A37" s="1167">
        <v>14</v>
      </c>
      <c r="B37" s="1169" t="s">
        <v>1119</v>
      </c>
      <c r="C37" s="1182" t="s">
        <v>362</v>
      </c>
      <c r="D37" s="1173" t="s">
        <v>27</v>
      </c>
      <c r="E37" s="1173" t="s">
        <v>363</v>
      </c>
      <c r="F37" s="1169">
        <f>G37+H37</f>
        <v>26.8</v>
      </c>
      <c r="G37" s="1178">
        <v>0</v>
      </c>
      <c r="H37" s="1178">
        <v>26.8</v>
      </c>
      <c r="I37" s="644">
        <f aca="true" t="shared" si="4" ref="I37:I48">J37+K37</f>
        <v>3</v>
      </c>
      <c r="J37" s="645">
        <v>3</v>
      </c>
      <c r="K37" s="646">
        <v>0</v>
      </c>
      <c r="L37" s="644">
        <f aca="true" t="shared" si="5" ref="L37:L48">M37+N37</f>
        <v>31</v>
      </c>
      <c r="M37" s="645">
        <v>22</v>
      </c>
      <c r="N37" s="644">
        <v>9</v>
      </c>
    </row>
    <row r="38" spans="1:14" s="266" customFormat="1" ht="12.75" thickBot="1">
      <c r="A38" s="1168"/>
      <c r="B38" s="1170"/>
      <c r="C38" s="1183"/>
      <c r="D38" s="1174"/>
      <c r="E38" s="1174"/>
      <c r="F38" s="1170"/>
      <c r="G38" s="1179"/>
      <c r="H38" s="1179"/>
      <c r="I38" s="885">
        <f t="shared" si="4"/>
        <v>148.5</v>
      </c>
      <c r="J38" s="650">
        <v>148.5</v>
      </c>
      <c r="K38" s="915">
        <v>0</v>
      </c>
      <c r="L38" s="883">
        <f t="shared" si="5"/>
        <v>497</v>
      </c>
      <c r="M38" s="990">
        <v>385</v>
      </c>
      <c r="N38" s="883">
        <v>112</v>
      </c>
    </row>
    <row r="39" spans="1:14" s="266" customFormat="1" ht="12">
      <c r="A39" s="1167">
        <v>15</v>
      </c>
      <c r="B39" s="1169" t="s">
        <v>1120</v>
      </c>
      <c r="C39" s="1182" t="s">
        <v>364</v>
      </c>
      <c r="D39" s="1173" t="s">
        <v>102</v>
      </c>
      <c r="E39" s="1173" t="s">
        <v>37</v>
      </c>
      <c r="F39" s="1169">
        <f>G39+H39</f>
        <v>1.7</v>
      </c>
      <c r="G39" s="1178">
        <v>1.7</v>
      </c>
      <c r="H39" s="1178">
        <v>0</v>
      </c>
      <c r="I39" s="644">
        <f t="shared" si="4"/>
        <v>0</v>
      </c>
      <c r="J39" s="645">
        <v>0</v>
      </c>
      <c r="K39" s="646">
        <v>0</v>
      </c>
      <c r="L39" s="644">
        <f t="shared" si="5"/>
        <v>3</v>
      </c>
      <c r="M39" s="645">
        <v>0</v>
      </c>
      <c r="N39" s="644">
        <v>3</v>
      </c>
    </row>
    <row r="40" spans="1:14" s="266" customFormat="1" ht="12.75" thickBot="1">
      <c r="A40" s="1168"/>
      <c r="B40" s="1170"/>
      <c r="C40" s="1183"/>
      <c r="D40" s="1174"/>
      <c r="E40" s="1174"/>
      <c r="F40" s="1170"/>
      <c r="G40" s="1179"/>
      <c r="H40" s="1179"/>
      <c r="I40" s="883">
        <f t="shared" si="4"/>
        <v>0</v>
      </c>
      <c r="J40" s="990">
        <v>0</v>
      </c>
      <c r="K40" s="915">
        <v>0</v>
      </c>
      <c r="L40" s="883">
        <f t="shared" si="5"/>
        <v>59</v>
      </c>
      <c r="M40" s="990">
        <v>0</v>
      </c>
      <c r="N40" s="883">
        <v>59</v>
      </c>
    </row>
    <row r="41" spans="1:14" s="266" customFormat="1" ht="12">
      <c r="A41" s="1167">
        <v>16</v>
      </c>
      <c r="B41" s="1169" t="s">
        <v>1121</v>
      </c>
      <c r="C41" s="1182" t="s">
        <v>365</v>
      </c>
      <c r="D41" s="1173" t="s">
        <v>27</v>
      </c>
      <c r="E41" s="1180" t="s">
        <v>210</v>
      </c>
      <c r="F41" s="1169">
        <f>G41+H41</f>
        <v>7</v>
      </c>
      <c r="G41" s="1178">
        <v>0</v>
      </c>
      <c r="H41" s="1178">
        <v>7</v>
      </c>
      <c r="I41" s="644">
        <f t="shared" si="4"/>
        <v>0</v>
      </c>
      <c r="J41" s="645">
        <v>0</v>
      </c>
      <c r="K41" s="646">
        <v>0</v>
      </c>
      <c r="L41" s="644">
        <f t="shared" si="5"/>
        <v>9</v>
      </c>
      <c r="M41" s="645">
        <v>9</v>
      </c>
      <c r="N41" s="644">
        <v>0</v>
      </c>
    </row>
    <row r="42" spans="1:14" s="266" customFormat="1" ht="12.75" thickBot="1">
      <c r="A42" s="1168"/>
      <c r="B42" s="1170"/>
      <c r="C42" s="1183"/>
      <c r="D42" s="1174"/>
      <c r="E42" s="1181"/>
      <c r="F42" s="1170"/>
      <c r="G42" s="1179"/>
      <c r="H42" s="1179"/>
      <c r="I42" s="883">
        <f t="shared" si="4"/>
        <v>0</v>
      </c>
      <c r="J42" s="990">
        <v>0</v>
      </c>
      <c r="K42" s="915">
        <v>0</v>
      </c>
      <c r="L42" s="883">
        <f t="shared" si="5"/>
        <v>144</v>
      </c>
      <c r="M42" s="990">
        <v>144</v>
      </c>
      <c r="N42" s="883">
        <v>0</v>
      </c>
    </row>
    <row r="43" spans="1:14" s="266" customFormat="1" ht="12">
      <c r="A43" s="1167">
        <v>17</v>
      </c>
      <c r="B43" s="1169" t="s">
        <v>1122</v>
      </c>
      <c r="C43" s="1182" t="s">
        <v>366</v>
      </c>
      <c r="D43" s="1173" t="s">
        <v>27</v>
      </c>
      <c r="E43" s="1173" t="s">
        <v>367</v>
      </c>
      <c r="F43" s="1169">
        <f>G43+H43</f>
        <v>10.5</v>
      </c>
      <c r="G43" s="1178">
        <v>10.5</v>
      </c>
      <c r="H43" s="1178">
        <v>0</v>
      </c>
      <c r="I43" s="644">
        <f t="shared" si="4"/>
        <v>0</v>
      </c>
      <c r="J43" s="645">
        <v>0</v>
      </c>
      <c r="K43" s="646">
        <v>0</v>
      </c>
      <c r="L43" s="644">
        <f t="shared" si="5"/>
        <v>13</v>
      </c>
      <c r="M43" s="645">
        <v>7</v>
      </c>
      <c r="N43" s="644">
        <v>6</v>
      </c>
    </row>
    <row r="44" spans="1:14" s="266" customFormat="1" ht="12.75" thickBot="1">
      <c r="A44" s="1168"/>
      <c r="B44" s="1170"/>
      <c r="C44" s="1183"/>
      <c r="D44" s="1174"/>
      <c r="E44" s="1174"/>
      <c r="F44" s="1170"/>
      <c r="G44" s="1179"/>
      <c r="H44" s="1179"/>
      <c r="I44" s="883">
        <f t="shared" si="4"/>
        <v>0</v>
      </c>
      <c r="J44" s="990">
        <v>0</v>
      </c>
      <c r="K44" s="915">
        <v>0</v>
      </c>
      <c r="L44" s="883">
        <f t="shared" si="5"/>
        <v>217</v>
      </c>
      <c r="M44" s="990">
        <v>128</v>
      </c>
      <c r="N44" s="883">
        <v>89</v>
      </c>
    </row>
    <row r="45" spans="1:14" s="266" customFormat="1" ht="12">
      <c r="A45" s="1167">
        <v>18</v>
      </c>
      <c r="B45" s="1169" t="s">
        <v>1124</v>
      </c>
      <c r="C45" s="1182" t="s">
        <v>370</v>
      </c>
      <c r="D45" s="1173" t="s">
        <v>27</v>
      </c>
      <c r="E45" s="1173" t="s">
        <v>39</v>
      </c>
      <c r="F45" s="1169">
        <f>G45+H45</f>
        <v>0.8</v>
      </c>
      <c r="G45" s="1178">
        <v>0</v>
      </c>
      <c r="H45" s="1178">
        <v>0.8</v>
      </c>
      <c r="I45" s="644">
        <f>J45+K45</f>
        <v>0</v>
      </c>
      <c r="J45" s="645">
        <v>0</v>
      </c>
      <c r="K45" s="646">
        <v>0</v>
      </c>
      <c r="L45" s="644">
        <f>M45+N45</f>
        <v>2</v>
      </c>
      <c r="M45" s="645">
        <v>1</v>
      </c>
      <c r="N45" s="644">
        <v>1</v>
      </c>
    </row>
    <row r="46" spans="1:14" s="266" customFormat="1" ht="12.75" thickBot="1">
      <c r="A46" s="1168"/>
      <c r="B46" s="1170"/>
      <c r="C46" s="1183"/>
      <c r="D46" s="1174"/>
      <c r="E46" s="1174"/>
      <c r="F46" s="1170"/>
      <c r="G46" s="1179"/>
      <c r="H46" s="1179"/>
      <c r="I46" s="883">
        <f>J46+K46</f>
        <v>0</v>
      </c>
      <c r="J46" s="990">
        <v>0</v>
      </c>
      <c r="K46" s="915">
        <v>0</v>
      </c>
      <c r="L46" s="883">
        <f>M46+N46</f>
        <v>17</v>
      </c>
      <c r="M46" s="990">
        <v>5</v>
      </c>
      <c r="N46" s="883">
        <v>12</v>
      </c>
    </row>
    <row r="47" spans="1:14" s="266" customFormat="1" ht="12">
      <c r="A47" s="1167">
        <v>19</v>
      </c>
      <c r="B47" s="1169" t="s">
        <v>1123</v>
      </c>
      <c r="C47" s="1182" t="s">
        <v>368</v>
      </c>
      <c r="D47" s="1173" t="s">
        <v>27</v>
      </c>
      <c r="E47" s="1180" t="s">
        <v>369</v>
      </c>
      <c r="F47" s="1169">
        <f>G47+H47</f>
        <v>5.2</v>
      </c>
      <c r="G47" s="1178">
        <v>0</v>
      </c>
      <c r="H47" s="1178">
        <v>5.2</v>
      </c>
      <c r="I47" s="644">
        <f t="shared" si="4"/>
        <v>0</v>
      </c>
      <c r="J47" s="645">
        <v>0</v>
      </c>
      <c r="K47" s="646">
        <v>0</v>
      </c>
      <c r="L47" s="644">
        <f t="shared" si="5"/>
        <v>4</v>
      </c>
      <c r="M47" s="645">
        <v>3</v>
      </c>
      <c r="N47" s="644">
        <v>1</v>
      </c>
    </row>
    <row r="48" spans="1:14" s="266" customFormat="1" ht="12.75" thickBot="1">
      <c r="A48" s="1168"/>
      <c r="B48" s="1170"/>
      <c r="C48" s="1183"/>
      <c r="D48" s="1174"/>
      <c r="E48" s="1181"/>
      <c r="F48" s="1170"/>
      <c r="G48" s="1179"/>
      <c r="H48" s="1179"/>
      <c r="I48" s="883">
        <f t="shared" si="4"/>
        <v>0</v>
      </c>
      <c r="J48" s="990">
        <v>0</v>
      </c>
      <c r="K48" s="915">
        <v>0</v>
      </c>
      <c r="L48" s="883">
        <f t="shared" si="5"/>
        <v>56</v>
      </c>
      <c r="M48" s="990">
        <v>46</v>
      </c>
      <c r="N48" s="883">
        <v>10</v>
      </c>
    </row>
    <row r="49" spans="1:14" s="266" customFormat="1" ht="12.75" hidden="1" thickBot="1">
      <c r="A49" s="1163"/>
      <c r="B49" s="1164"/>
      <c r="C49" s="1166"/>
      <c r="D49" s="1166"/>
      <c r="E49" s="1166"/>
      <c r="F49" s="1164">
        <f>G49+H49</f>
        <v>0</v>
      </c>
      <c r="G49" s="1161"/>
      <c r="H49" s="1161"/>
      <c r="I49" s="652">
        <f t="shared" si="0"/>
        <v>0</v>
      </c>
      <c r="J49" s="706"/>
      <c r="K49" s="654"/>
      <c r="L49" s="652">
        <f t="shared" si="1"/>
        <v>0</v>
      </c>
      <c r="M49" s="706"/>
      <c r="N49" s="652"/>
    </row>
    <row r="50" spans="1:14" s="266" customFormat="1" ht="12.75" hidden="1" thickBot="1">
      <c r="A50" s="1825"/>
      <c r="B50" s="1358"/>
      <c r="C50" s="1331"/>
      <c r="D50" s="1331"/>
      <c r="E50" s="1331"/>
      <c r="F50" s="1358"/>
      <c r="G50" s="1366"/>
      <c r="H50" s="1366"/>
      <c r="I50" s="922">
        <f t="shared" si="0"/>
        <v>0</v>
      </c>
      <c r="J50" s="678"/>
      <c r="K50" s="984"/>
      <c r="L50" s="922">
        <f t="shared" si="1"/>
        <v>0</v>
      </c>
      <c r="M50" s="678"/>
      <c r="N50" s="880"/>
    </row>
    <row r="51" spans="1:14" s="266" customFormat="1" ht="12.75" hidden="1" thickBot="1">
      <c r="A51" s="1824"/>
      <c r="B51" s="1392"/>
      <c r="C51" s="1823"/>
      <c r="D51" s="1823"/>
      <c r="E51" s="1823"/>
      <c r="F51" s="1392">
        <f>G51+H51</f>
        <v>0</v>
      </c>
      <c r="G51" s="1822"/>
      <c r="H51" s="1822"/>
      <c r="I51" s="768"/>
      <c r="J51" s="770"/>
      <c r="K51" s="767"/>
      <c r="L51" s="768">
        <f t="shared" si="1"/>
        <v>0</v>
      </c>
      <c r="M51" s="770"/>
      <c r="N51" s="768"/>
    </row>
    <row r="52" spans="1:14" s="266" customFormat="1" ht="12.75" hidden="1" thickBot="1">
      <c r="A52" s="1825"/>
      <c r="B52" s="1358"/>
      <c r="C52" s="1331"/>
      <c r="D52" s="1331"/>
      <c r="E52" s="1331"/>
      <c r="F52" s="1358"/>
      <c r="G52" s="1366"/>
      <c r="H52" s="1366"/>
      <c r="I52" s="922">
        <f t="shared" si="0"/>
        <v>0</v>
      </c>
      <c r="J52" s="678"/>
      <c r="K52" s="984"/>
      <c r="L52" s="922">
        <f t="shared" si="1"/>
        <v>0</v>
      </c>
      <c r="M52" s="678"/>
      <c r="N52" s="922"/>
    </row>
    <row r="53" spans="1:14" s="266" customFormat="1" ht="12.75" hidden="1" thickBot="1">
      <c r="A53" s="1824"/>
      <c r="B53" s="1392"/>
      <c r="C53" s="1823"/>
      <c r="D53" s="1823"/>
      <c r="E53" s="1823"/>
      <c r="F53" s="1822">
        <f>G53+H53</f>
        <v>0</v>
      </c>
      <c r="G53" s="1822"/>
      <c r="H53" s="1822"/>
      <c r="I53" s="652">
        <f t="shared" si="0"/>
        <v>0</v>
      </c>
      <c r="J53" s="768"/>
      <c r="K53" s="768"/>
      <c r="L53" s="652">
        <f t="shared" si="1"/>
        <v>0</v>
      </c>
      <c r="M53" s="768"/>
      <c r="N53" s="768"/>
    </row>
    <row r="54" spans="1:14" s="266" customFormat="1" ht="12.75" hidden="1" thickBot="1">
      <c r="A54" s="1825"/>
      <c r="B54" s="1358"/>
      <c r="C54" s="1331"/>
      <c r="D54" s="1331"/>
      <c r="E54" s="1331"/>
      <c r="F54" s="1366"/>
      <c r="G54" s="1366"/>
      <c r="H54" s="1366"/>
      <c r="I54" s="880">
        <f t="shared" si="0"/>
        <v>0</v>
      </c>
      <c r="J54" s="922"/>
      <c r="K54" s="922"/>
      <c r="L54" s="880">
        <f t="shared" si="1"/>
        <v>0</v>
      </c>
      <c r="M54" s="922"/>
      <c r="N54" s="922"/>
    </row>
    <row r="55" spans="1:14" s="266" customFormat="1" ht="12.75" hidden="1" thickBot="1">
      <c r="A55" s="1824"/>
      <c r="B55" s="1392"/>
      <c r="C55" s="1823"/>
      <c r="D55" s="1835"/>
      <c r="E55" s="1823"/>
      <c r="F55" s="1392">
        <f>G55+H55</f>
        <v>0</v>
      </c>
      <c r="G55" s="1822"/>
      <c r="H55" s="1822"/>
      <c r="I55" s="768">
        <f t="shared" si="0"/>
        <v>0</v>
      </c>
      <c r="J55" s="706"/>
      <c r="K55" s="654"/>
      <c r="L55" s="768">
        <f t="shared" si="1"/>
        <v>0</v>
      </c>
      <c r="M55" s="706"/>
      <c r="N55" s="652"/>
    </row>
    <row r="56" spans="1:14" s="266" customFormat="1" ht="12.75" hidden="1" thickBot="1">
      <c r="A56" s="1163"/>
      <c r="B56" s="1164"/>
      <c r="C56" s="1166"/>
      <c r="D56" s="1651"/>
      <c r="E56" s="1166"/>
      <c r="F56" s="1164"/>
      <c r="G56" s="1161"/>
      <c r="H56" s="1161"/>
      <c r="I56" s="880">
        <f t="shared" si="0"/>
        <v>0</v>
      </c>
      <c r="J56" s="605"/>
      <c r="K56" s="914"/>
      <c r="L56" s="880">
        <f t="shared" si="1"/>
        <v>0</v>
      </c>
      <c r="M56" s="605"/>
      <c r="N56" s="880"/>
    </row>
    <row r="57" spans="1:14" s="272" customFormat="1" ht="12">
      <c r="A57" s="1661"/>
      <c r="B57" s="655"/>
      <c r="C57" s="1794" t="s">
        <v>229</v>
      </c>
      <c r="D57" s="1596" t="s">
        <v>274</v>
      </c>
      <c r="E57" s="1596"/>
      <c r="F57" s="1551">
        <f aca="true" t="shared" si="6" ref="F57:M57">F7+F9+F11+F13+F17+F19+F27+F23+F25+F21+F29+F31+F33+F35+F37+F39+F41+F43+F47+F45+F49+F51+F53+F55</f>
        <v>264.348</v>
      </c>
      <c r="G57" s="1551">
        <f t="shared" si="6"/>
        <v>146.081</v>
      </c>
      <c r="H57" s="1551">
        <f t="shared" si="6"/>
        <v>118.267</v>
      </c>
      <c r="I57" s="656">
        <f t="shared" si="6"/>
        <v>15</v>
      </c>
      <c r="J57" s="656">
        <f t="shared" si="6"/>
        <v>15</v>
      </c>
      <c r="K57" s="656">
        <f t="shared" si="6"/>
        <v>0</v>
      </c>
      <c r="L57" s="656">
        <f t="shared" si="6"/>
        <v>276</v>
      </c>
      <c r="M57" s="656">
        <f t="shared" si="6"/>
        <v>217</v>
      </c>
      <c r="N57" s="656">
        <f>N7+N9+N11+N13+N17+N19+N27+N23+N25+N21+N29+N31+N33+N35+N37+N39+N41+N43+N47+N45+N49+N51+N55</f>
        <v>59</v>
      </c>
    </row>
    <row r="58" spans="1:14" s="2" customFormat="1" ht="12.75" thickBot="1">
      <c r="A58" s="1662"/>
      <c r="B58" s="1073"/>
      <c r="C58" s="1795"/>
      <c r="D58" s="1597"/>
      <c r="E58" s="1597"/>
      <c r="F58" s="1552"/>
      <c r="G58" s="1552"/>
      <c r="H58" s="1552"/>
      <c r="I58" s="354">
        <f>I8+I10+I12+I14+I18+I20+I28+I24+I26+I22+I30+I32+I34+I36+I38+I40+I42+I44+I48+I46+I50+I52+I54+I56</f>
        <v>653.73</v>
      </c>
      <c r="J58" s="348">
        <f>J8+J10+J12+J14+J18+J20+J28+J24+J26+J22+J30+J32+J34+J36+J38+J40+J42+J44+J48+J46+J50+J52+J54+J56</f>
        <v>653.73</v>
      </c>
      <c r="K58" s="348">
        <f>K8+K10+K12+K14+K18+K20+K28+K24+K26+K22+K30+K32+K34+K36+K38+K40+K42+K44+K48+K46+K50+K52+K54+K56</f>
        <v>0</v>
      </c>
      <c r="L58" s="348">
        <f>L8+L10+L12+L14+L18+L20+L28+L24+L26+L22+L30+L32+L34+L36+L38+L40+L42+L44+L48+L46+L50+L52+L54+L56</f>
        <v>5733</v>
      </c>
      <c r="M58" s="348">
        <f>M8+M10+M12+M14+M18+M20+M28+M24+M26+M22+M30+M32+M34+M36+M38+M40+M42+M44+M48+M46+M50+M52+M54+M56</f>
        <v>5016</v>
      </c>
      <c r="N58" s="348">
        <f>N8+N10+N12+N14+N18+N20+N28+N24+N26+N22+N30+N32+N34+N36+N38+N40+N42+N44+N48+N46+N50+N52+N56</f>
        <v>717</v>
      </c>
    </row>
    <row r="59" spans="1:8" ht="12.75" hidden="1">
      <c r="A59" s="151"/>
      <c r="B59" s="153"/>
      <c r="C59" s="1448" t="s">
        <v>454</v>
      </c>
      <c r="D59" s="161" t="s">
        <v>450</v>
      </c>
      <c r="E59" s="162"/>
      <c r="F59" s="185">
        <f>SUMIF($D$7:$D$58,"=I",F7:F56)</f>
        <v>0</v>
      </c>
      <c r="G59" s="185">
        <f>SUMIF($D$7:$D$58,"=I",G7:G56)</f>
        <v>0</v>
      </c>
      <c r="H59" s="185">
        <f>SUMIF($D$7:$D$58,"=I",H7:H56)</f>
        <v>0</v>
      </c>
    </row>
    <row r="60" spans="1:8" ht="12.75" hidden="1">
      <c r="A60" s="151"/>
      <c r="B60" s="153"/>
      <c r="C60" s="1449"/>
      <c r="D60" s="69" t="s">
        <v>100</v>
      </c>
      <c r="E60" s="63"/>
      <c r="F60" s="101">
        <f>SUMIF($D$7:$D$58,"=II",F7:F56)</f>
        <v>0</v>
      </c>
      <c r="G60" s="101">
        <f>SUMIF($D$7:$D$58,"=II",G7:G56)</f>
        <v>0</v>
      </c>
      <c r="H60" s="101">
        <f>SUMIF($D$7:$D$58,"=II",H7:H56)</f>
        <v>0</v>
      </c>
    </row>
    <row r="61" spans="1:8" ht="12.75">
      <c r="A61" s="151"/>
      <c r="B61" s="153"/>
      <c r="C61" s="1449"/>
      <c r="D61" s="68" t="s">
        <v>102</v>
      </c>
      <c r="E61" s="63"/>
      <c r="F61" s="101">
        <f>SUMIF($D$7:$D$56,"=III",F7:F56)</f>
        <v>112.33500000000001</v>
      </c>
      <c r="G61" s="101">
        <f>SUMIF($D$7:$D$56,"=III",G7:G56)</f>
        <v>102.239</v>
      </c>
      <c r="H61" s="101">
        <f>SUMIF($D$7:$D$56,"=III",H7:H56)</f>
        <v>10.096</v>
      </c>
    </row>
    <row r="62" spans="1:8" ht="12.75">
      <c r="A62" s="151"/>
      <c r="B62" s="153"/>
      <c r="C62" s="1449"/>
      <c r="D62" s="70" t="s">
        <v>27</v>
      </c>
      <c r="E62" s="67"/>
      <c r="F62" s="101">
        <f>SUMIF($D$7:$D$56,"=IV",F7:F56)</f>
        <v>152.013</v>
      </c>
      <c r="G62" s="101">
        <f>SUMIF($D$7:$D$56,"=IV",G7:G56)</f>
        <v>43.842</v>
      </c>
      <c r="H62" s="101">
        <f>SUMIF($D$7:$D$56,"=IV",H7:H56)</f>
        <v>108.17099999999999</v>
      </c>
    </row>
    <row r="63" spans="1:8" ht="12.75">
      <c r="A63" s="152"/>
      <c r="B63" s="154"/>
      <c r="C63" s="1449"/>
      <c r="D63" s="70" t="s">
        <v>49</v>
      </c>
      <c r="E63" s="64"/>
      <c r="F63" s="64">
        <f>SUMIF($D$7:$D$56,"=V",F7:F56)</f>
        <v>0</v>
      </c>
      <c r="G63" s="64">
        <f>SUMIF($D$7:$D$56,"=V",G7:G56)</f>
        <v>0</v>
      </c>
      <c r="H63" s="64">
        <f>SUMIF($D$7:$D$56,"=V",H7:H56)</f>
        <v>0</v>
      </c>
    </row>
    <row r="64" spans="3:5" ht="12.75">
      <c r="C64" s="8"/>
      <c r="D64" s="8"/>
      <c r="E64" s="4"/>
    </row>
    <row r="65" spans="3:5" ht="12.75">
      <c r="C65" s="8"/>
      <c r="D65" s="8"/>
      <c r="E65" s="4"/>
    </row>
    <row r="66" spans="3:5" ht="12.75">
      <c r="C66" s="6"/>
      <c r="D66" s="6"/>
      <c r="E66" s="4"/>
    </row>
    <row r="67" spans="3:5" ht="12.75">
      <c r="C67" s="8"/>
      <c r="D67" s="8"/>
      <c r="E67" s="4"/>
    </row>
    <row r="68" spans="3:5" ht="12.75">
      <c r="C68" s="7"/>
      <c r="D68" s="7"/>
      <c r="E68" s="5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</sheetData>
  <sheetProtection/>
  <mergeCells count="217">
    <mergeCell ref="A23:A24"/>
    <mergeCell ref="H19:H20"/>
    <mergeCell ref="G19:G20"/>
    <mergeCell ref="A25:A26"/>
    <mergeCell ref="B25:B26"/>
    <mergeCell ref="H17:H18"/>
    <mergeCell ref="G27:G28"/>
    <mergeCell ref="H25:H26"/>
    <mergeCell ref="H27:H28"/>
    <mergeCell ref="H23:H24"/>
    <mergeCell ref="H13:H14"/>
    <mergeCell ref="H11:H12"/>
    <mergeCell ref="H9:H10"/>
    <mergeCell ref="G4:H4"/>
    <mergeCell ref="H7:H8"/>
    <mergeCell ref="G5:G6"/>
    <mergeCell ref="H5:H6"/>
    <mergeCell ref="J5:K5"/>
    <mergeCell ref="G11:G12"/>
    <mergeCell ref="G9:G10"/>
    <mergeCell ref="G21:G22"/>
    <mergeCell ref="G13:G14"/>
    <mergeCell ref="G17:G18"/>
    <mergeCell ref="H21:H22"/>
    <mergeCell ref="H33:H34"/>
    <mergeCell ref="F31:F32"/>
    <mergeCell ref="G31:G32"/>
    <mergeCell ref="H31:H32"/>
    <mergeCell ref="F25:F26"/>
    <mergeCell ref="G25:G26"/>
    <mergeCell ref="H29:H30"/>
    <mergeCell ref="F21:F22"/>
    <mergeCell ref="G29:G30"/>
    <mergeCell ref="G23:G24"/>
    <mergeCell ref="F33:F34"/>
    <mergeCell ref="D19:D20"/>
    <mergeCell ref="D27:D28"/>
    <mergeCell ref="E27:E28"/>
    <mergeCell ref="E19:E20"/>
    <mergeCell ref="F27:F28"/>
    <mergeCell ref="D57:D58"/>
    <mergeCell ref="E23:E24"/>
    <mergeCell ref="B23:B24"/>
    <mergeCell ref="B29:B30"/>
    <mergeCell ref="B41:B42"/>
    <mergeCell ref="D41:D42"/>
    <mergeCell ref="C41:C42"/>
    <mergeCell ref="E29:E30"/>
    <mergeCell ref="D31:D32"/>
    <mergeCell ref="B33:B34"/>
    <mergeCell ref="E31:E32"/>
    <mergeCell ref="F23:F24"/>
    <mergeCell ref="E25:E26"/>
    <mergeCell ref="C29:C30"/>
    <mergeCell ref="F29:F30"/>
    <mergeCell ref="B31:B32"/>
    <mergeCell ref="D23:D24"/>
    <mergeCell ref="C59:C63"/>
    <mergeCell ref="C35:C36"/>
    <mergeCell ref="C45:C46"/>
    <mergeCell ref="D55:D56"/>
    <mergeCell ref="C39:C40"/>
    <mergeCell ref="C51:C52"/>
    <mergeCell ref="D37:D38"/>
    <mergeCell ref="D35:D36"/>
    <mergeCell ref="D39:D40"/>
    <mergeCell ref="C57:C58"/>
    <mergeCell ref="G51:G52"/>
    <mergeCell ref="H41:H42"/>
    <mergeCell ref="G41:G42"/>
    <mergeCell ref="G47:G48"/>
    <mergeCell ref="A21:A22"/>
    <mergeCell ref="B21:B22"/>
    <mergeCell ref="C21:C22"/>
    <mergeCell ref="E21:E22"/>
    <mergeCell ref="A29:A30"/>
    <mergeCell ref="E33:E34"/>
    <mergeCell ref="D43:D44"/>
    <mergeCell ref="F37:F38"/>
    <mergeCell ref="F47:F48"/>
    <mergeCell ref="E41:E42"/>
    <mergeCell ref="E43:E44"/>
    <mergeCell ref="E39:E40"/>
    <mergeCell ref="F41:F42"/>
    <mergeCell ref="F43:F44"/>
    <mergeCell ref="F39:F40"/>
    <mergeCell ref="E35:E36"/>
    <mergeCell ref="E37:E38"/>
    <mergeCell ref="A35:A36"/>
    <mergeCell ref="H35:H36"/>
    <mergeCell ref="B35:B36"/>
    <mergeCell ref="G37:G38"/>
    <mergeCell ref="B37:B38"/>
    <mergeCell ref="G35:G36"/>
    <mergeCell ref="F35:F36"/>
    <mergeCell ref="H37:H38"/>
    <mergeCell ref="D21:D22"/>
    <mergeCell ref="D25:D26"/>
    <mergeCell ref="A37:A38"/>
    <mergeCell ref="C37:C38"/>
    <mergeCell ref="D33:D34"/>
    <mergeCell ref="D29:D30"/>
    <mergeCell ref="A33:A34"/>
    <mergeCell ref="C33:C34"/>
    <mergeCell ref="C31:C32"/>
    <mergeCell ref="A31:A32"/>
    <mergeCell ref="A17:A18"/>
    <mergeCell ref="B17:B18"/>
    <mergeCell ref="C17:C18"/>
    <mergeCell ref="A27:A28"/>
    <mergeCell ref="B19:B20"/>
    <mergeCell ref="A19:A20"/>
    <mergeCell ref="B27:B28"/>
    <mergeCell ref="C27:C28"/>
    <mergeCell ref="C23:C24"/>
    <mergeCell ref="C25:C26"/>
    <mergeCell ref="F13:F14"/>
    <mergeCell ref="E7:E8"/>
    <mergeCell ref="F9:F10"/>
    <mergeCell ref="E11:E12"/>
    <mergeCell ref="C19:C20"/>
    <mergeCell ref="F7:F8"/>
    <mergeCell ref="E9:E10"/>
    <mergeCell ref="C13:C14"/>
    <mergeCell ref="C11:C12"/>
    <mergeCell ref="F19:F20"/>
    <mergeCell ref="A9:A10"/>
    <mergeCell ref="C9:C10"/>
    <mergeCell ref="D7:D8"/>
    <mergeCell ref="B9:B10"/>
    <mergeCell ref="D9:D10"/>
    <mergeCell ref="D17:D18"/>
    <mergeCell ref="A13:A16"/>
    <mergeCell ref="B13:B16"/>
    <mergeCell ref="A11:A12"/>
    <mergeCell ref="B11:B12"/>
    <mergeCell ref="B4:B6"/>
    <mergeCell ref="F4:F6"/>
    <mergeCell ref="I4:K4"/>
    <mergeCell ref="A7:A8"/>
    <mergeCell ref="B7:B8"/>
    <mergeCell ref="C7:C8"/>
    <mergeCell ref="I5:I6"/>
    <mergeCell ref="G7:G8"/>
    <mergeCell ref="D11:D12"/>
    <mergeCell ref="A1:N1"/>
    <mergeCell ref="A2:N2"/>
    <mergeCell ref="D4:D6"/>
    <mergeCell ref="E4:E6"/>
    <mergeCell ref="L4:N4"/>
    <mergeCell ref="C4:C6"/>
    <mergeCell ref="M5:N5"/>
    <mergeCell ref="L5:L6"/>
    <mergeCell ref="A4:A6"/>
    <mergeCell ref="A39:A40"/>
    <mergeCell ref="A43:A44"/>
    <mergeCell ref="A41:A42"/>
    <mergeCell ref="B43:B44"/>
    <mergeCell ref="B39:B40"/>
    <mergeCell ref="F11:F12"/>
    <mergeCell ref="D13:D14"/>
    <mergeCell ref="F17:F18"/>
    <mergeCell ref="E17:E18"/>
    <mergeCell ref="E13:E14"/>
    <mergeCell ref="A45:A46"/>
    <mergeCell ref="A47:A48"/>
    <mergeCell ref="B47:B48"/>
    <mergeCell ref="C47:C48"/>
    <mergeCell ref="E47:E48"/>
    <mergeCell ref="D47:D48"/>
    <mergeCell ref="F51:F52"/>
    <mergeCell ref="E45:E46"/>
    <mergeCell ref="C43:C44"/>
    <mergeCell ref="A49:A50"/>
    <mergeCell ref="D45:D46"/>
    <mergeCell ref="F45:F46"/>
    <mergeCell ref="B49:B50"/>
    <mergeCell ref="C49:C50"/>
    <mergeCell ref="D49:D50"/>
    <mergeCell ref="E49:E50"/>
    <mergeCell ref="A53:A54"/>
    <mergeCell ref="B53:B54"/>
    <mergeCell ref="B45:B46"/>
    <mergeCell ref="C53:C54"/>
    <mergeCell ref="G55:G56"/>
    <mergeCell ref="D53:D54"/>
    <mergeCell ref="A51:A52"/>
    <mergeCell ref="B51:B52"/>
    <mergeCell ref="D51:D52"/>
    <mergeCell ref="E51:E52"/>
    <mergeCell ref="H51:H52"/>
    <mergeCell ref="H55:H56"/>
    <mergeCell ref="A57:A58"/>
    <mergeCell ref="E53:E54"/>
    <mergeCell ref="E57:E58"/>
    <mergeCell ref="A55:A56"/>
    <mergeCell ref="E55:E56"/>
    <mergeCell ref="B55:B56"/>
    <mergeCell ref="C55:C56"/>
    <mergeCell ref="G43:G44"/>
    <mergeCell ref="G33:G34"/>
    <mergeCell ref="H57:H58"/>
    <mergeCell ref="F55:F56"/>
    <mergeCell ref="F53:F54"/>
    <mergeCell ref="G53:G54"/>
    <mergeCell ref="H53:H54"/>
    <mergeCell ref="F57:F58"/>
    <mergeCell ref="G57:G58"/>
    <mergeCell ref="F49:F50"/>
    <mergeCell ref="H45:H46"/>
    <mergeCell ref="G39:G40"/>
    <mergeCell ref="H49:H50"/>
    <mergeCell ref="G49:G50"/>
    <mergeCell ref="H47:H48"/>
    <mergeCell ref="G45:G46"/>
    <mergeCell ref="H39:H40"/>
    <mergeCell ref="H43:H44"/>
  </mergeCells>
  <printOptions/>
  <pageMargins left="0.6692913385826772" right="0.35433070866141736" top="0.6299212598425197" bottom="0.4724409448818898" header="0.4724409448818898" footer="0.31496062992125984"/>
  <pageSetup firstPageNumber="38" useFirstPageNumber="1" fitToHeight="0" fitToWidth="1" horizontalDpi="600" verticalDpi="600" orientation="landscape" paperSize="9" scale="99" r:id="rId1"/>
  <headerFooter alignWithMargins="0">
    <oddFooter>&amp;CСтраница &amp;P</oddFooter>
  </headerFooter>
  <rowBreaks count="1" manualBreakCount="1">
    <brk id="44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121"/>
  <sheetViews>
    <sheetView view="pageBreakPreview" zoomScaleSheetLayoutView="100" zoomScalePageLayoutView="0" workbookViewId="0" topLeftCell="A28">
      <selection activeCell="O1" sqref="O1:X16384"/>
    </sheetView>
  </sheetViews>
  <sheetFormatPr defaultColWidth="9.00390625" defaultRowHeight="12.75"/>
  <cols>
    <col min="1" max="1" width="4.25390625" style="0" customWidth="1"/>
    <col min="2" max="2" width="12.00390625" style="53" customWidth="1"/>
    <col min="3" max="3" width="36.375" style="0" customWidth="1"/>
    <col min="4" max="4" width="9.25390625" style="0" customWidth="1"/>
    <col min="5" max="5" width="12.375" style="0" customWidth="1"/>
    <col min="6" max="6" width="9.375" style="0" customWidth="1"/>
    <col min="7" max="7" width="7.125" style="0" customWidth="1"/>
    <col min="8" max="8" width="8.875" style="0" customWidth="1"/>
    <col min="9" max="9" width="6.125" style="0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1237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1421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7"/>
      <c r="B7" s="1205"/>
      <c r="C7" s="1215"/>
      <c r="D7" s="1206"/>
      <c r="E7" s="1213"/>
      <c r="F7" s="1205"/>
      <c r="G7" s="1206"/>
      <c r="H7" s="1225"/>
      <c r="I7" s="1223"/>
      <c r="J7" s="50" t="s">
        <v>6</v>
      </c>
      <c r="K7" s="73" t="s">
        <v>7</v>
      </c>
      <c r="L7" s="1223"/>
      <c r="M7" s="73" t="s">
        <v>6</v>
      </c>
      <c r="N7" s="73" t="s">
        <v>7</v>
      </c>
    </row>
    <row r="8" spans="1:14" s="266" customFormat="1" ht="12" customHeight="1">
      <c r="A8" s="1228">
        <v>1</v>
      </c>
      <c r="B8" s="1189" t="s">
        <v>799</v>
      </c>
      <c r="C8" s="1191" t="s">
        <v>101</v>
      </c>
      <c r="D8" s="1199"/>
      <c r="E8" s="1390" t="s">
        <v>654</v>
      </c>
      <c r="F8" s="1186">
        <f>G8+H8</f>
        <v>60.50000000000001</v>
      </c>
      <c r="G8" s="1186">
        <f>49.145+5.865+5.49</f>
        <v>60.50000000000001</v>
      </c>
      <c r="H8" s="1186"/>
      <c r="I8" s="502">
        <f aca="true" t="shared" si="0" ref="I8:I39">J8+K8</f>
        <v>2</v>
      </c>
      <c r="J8" s="503">
        <v>2</v>
      </c>
      <c r="K8" s="506">
        <v>0</v>
      </c>
      <c r="L8" s="502">
        <f aca="true" t="shared" si="1" ref="L8:L53">M8+N8</f>
        <v>75</v>
      </c>
      <c r="M8" s="503">
        <v>35</v>
      </c>
      <c r="N8" s="502">
        <v>40</v>
      </c>
    </row>
    <row r="9" spans="1:14" s="266" customFormat="1" ht="41.25" customHeight="1">
      <c r="A9" s="1339"/>
      <c r="B9" s="1369"/>
      <c r="C9" s="1609"/>
      <c r="D9" s="1338"/>
      <c r="E9" s="1841"/>
      <c r="F9" s="1350"/>
      <c r="G9" s="1350"/>
      <c r="H9" s="1350"/>
      <c r="I9" s="919">
        <f t="shared" si="0"/>
        <v>103.98</v>
      </c>
      <c r="J9" s="507">
        <v>103.98</v>
      </c>
      <c r="K9" s="507">
        <v>0</v>
      </c>
      <c r="L9" s="918">
        <f t="shared" si="1"/>
        <v>1957</v>
      </c>
      <c r="M9" s="507">
        <v>1091</v>
      </c>
      <c r="N9" s="918">
        <v>866</v>
      </c>
    </row>
    <row r="10" spans="1:14" s="266" customFormat="1" ht="12">
      <c r="A10" s="1339"/>
      <c r="B10" s="1369"/>
      <c r="C10" s="521" t="s">
        <v>449</v>
      </c>
      <c r="D10" s="530" t="s">
        <v>102</v>
      </c>
      <c r="E10" s="531" t="s">
        <v>725</v>
      </c>
      <c r="F10" s="532">
        <f>G10+H10</f>
        <v>38</v>
      </c>
      <c r="G10" s="532">
        <v>38</v>
      </c>
      <c r="H10" s="935"/>
      <c r="I10" s="927"/>
      <c r="J10" s="525"/>
      <c r="K10" s="512"/>
      <c r="L10" s="928"/>
      <c r="M10" s="512"/>
      <c r="N10" s="927"/>
    </row>
    <row r="11" spans="1:14" s="266" customFormat="1" ht="12.75" thickBot="1">
      <c r="A11" s="1229"/>
      <c r="B11" s="1190"/>
      <c r="C11" s="526"/>
      <c r="D11" s="527" t="s">
        <v>27</v>
      </c>
      <c r="E11" s="528" t="s">
        <v>726</v>
      </c>
      <c r="F11" s="533">
        <f>G11+H11</f>
        <v>22.5</v>
      </c>
      <c r="G11" s="533">
        <v>22.5</v>
      </c>
      <c r="H11" s="889"/>
      <c r="I11" s="891"/>
      <c r="J11" s="891"/>
      <c r="K11" s="891"/>
      <c r="L11" s="891"/>
      <c r="M11" s="589"/>
      <c r="N11" s="891"/>
    </row>
    <row r="12" spans="1:14" s="266" customFormat="1" ht="12">
      <c r="A12" s="1167">
        <v>2</v>
      </c>
      <c r="B12" s="1169" t="s">
        <v>1126</v>
      </c>
      <c r="C12" s="1182" t="s">
        <v>371</v>
      </c>
      <c r="D12" s="1173" t="s">
        <v>27</v>
      </c>
      <c r="E12" s="1779" t="s">
        <v>1353</v>
      </c>
      <c r="F12" s="1169">
        <f>G12+H12</f>
        <v>34.269</v>
      </c>
      <c r="G12" s="1184">
        <v>24.84</v>
      </c>
      <c r="H12" s="1362">
        <v>9.429</v>
      </c>
      <c r="I12" s="644">
        <f t="shared" si="0"/>
        <v>1</v>
      </c>
      <c r="J12" s="648">
        <v>1</v>
      </c>
      <c r="K12" s="646">
        <v>0</v>
      </c>
      <c r="L12" s="644">
        <f t="shared" si="1"/>
        <v>28</v>
      </c>
      <c r="M12" s="648">
        <v>6</v>
      </c>
      <c r="N12" s="644">
        <v>22</v>
      </c>
    </row>
    <row r="13" spans="1:14" s="266" customFormat="1" ht="12.75" thickBot="1">
      <c r="A13" s="1168"/>
      <c r="B13" s="1170"/>
      <c r="C13" s="1183"/>
      <c r="D13" s="1174"/>
      <c r="E13" s="1780"/>
      <c r="F13" s="1170"/>
      <c r="G13" s="1185"/>
      <c r="H13" s="1363"/>
      <c r="I13" s="885">
        <f t="shared" si="0"/>
        <v>18.6</v>
      </c>
      <c r="J13" s="651">
        <v>18.6</v>
      </c>
      <c r="K13" s="915">
        <v>0</v>
      </c>
      <c r="L13" s="883">
        <f t="shared" si="1"/>
        <v>475</v>
      </c>
      <c r="M13" s="611">
        <v>86</v>
      </c>
      <c r="N13" s="883">
        <v>389</v>
      </c>
    </row>
    <row r="14" spans="1:14" s="266" customFormat="1" ht="12">
      <c r="A14" s="1167">
        <v>3</v>
      </c>
      <c r="B14" s="1169" t="s">
        <v>1127</v>
      </c>
      <c r="C14" s="1182" t="s">
        <v>372</v>
      </c>
      <c r="D14" s="1173" t="s">
        <v>27</v>
      </c>
      <c r="E14" s="1180" t="s">
        <v>1354</v>
      </c>
      <c r="F14" s="1169">
        <f>G14+H14</f>
        <v>3.335</v>
      </c>
      <c r="G14" s="1178">
        <v>0</v>
      </c>
      <c r="H14" s="1184">
        <v>3.335</v>
      </c>
      <c r="I14" s="644">
        <f t="shared" si="0"/>
        <v>0</v>
      </c>
      <c r="J14" s="645">
        <v>0</v>
      </c>
      <c r="K14" s="646">
        <v>0</v>
      </c>
      <c r="L14" s="644">
        <f t="shared" si="1"/>
        <v>3</v>
      </c>
      <c r="M14" s="645">
        <v>1</v>
      </c>
      <c r="N14" s="644">
        <v>2</v>
      </c>
    </row>
    <row r="15" spans="1:14" s="266" customFormat="1" ht="12.75" thickBot="1">
      <c r="A15" s="1168"/>
      <c r="B15" s="1170"/>
      <c r="C15" s="1183"/>
      <c r="D15" s="1174"/>
      <c r="E15" s="1181"/>
      <c r="F15" s="1170"/>
      <c r="G15" s="1179"/>
      <c r="H15" s="1185"/>
      <c r="I15" s="883">
        <f t="shared" si="0"/>
        <v>0</v>
      </c>
      <c r="J15" s="990">
        <v>0</v>
      </c>
      <c r="K15" s="915">
        <v>0</v>
      </c>
      <c r="L15" s="883">
        <f t="shared" si="1"/>
        <v>38</v>
      </c>
      <c r="M15" s="990">
        <v>15</v>
      </c>
      <c r="N15" s="883">
        <v>23</v>
      </c>
    </row>
    <row r="16" spans="1:14" s="266" customFormat="1" ht="12">
      <c r="A16" s="1167">
        <v>4</v>
      </c>
      <c r="B16" s="1169" t="s">
        <v>1128</v>
      </c>
      <c r="C16" s="1182" t="s">
        <v>373</v>
      </c>
      <c r="D16" s="1173" t="s">
        <v>27</v>
      </c>
      <c r="E16" s="1173" t="s">
        <v>1303</v>
      </c>
      <c r="F16" s="1837">
        <f>G16+H16</f>
        <v>17.684</v>
      </c>
      <c r="G16" s="1837">
        <v>2.24</v>
      </c>
      <c r="H16" s="1184">
        <v>15.444</v>
      </c>
      <c r="I16" s="644">
        <f t="shared" si="0"/>
        <v>0</v>
      </c>
      <c r="J16" s="645">
        <v>0</v>
      </c>
      <c r="K16" s="648">
        <v>0</v>
      </c>
      <c r="L16" s="644">
        <f t="shared" si="1"/>
        <v>18</v>
      </c>
      <c r="M16" s="645">
        <v>7</v>
      </c>
      <c r="N16" s="644">
        <v>11</v>
      </c>
    </row>
    <row r="17" spans="1:14" s="266" customFormat="1" ht="12.75" thickBot="1">
      <c r="A17" s="1168"/>
      <c r="B17" s="1170"/>
      <c r="C17" s="1183"/>
      <c r="D17" s="1174"/>
      <c r="E17" s="1174"/>
      <c r="F17" s="1838"/>
      <c r="G17" s="1838"/>
      <c r="H17" s="1185"/>
      <c r="I17" s="883">
        <f t="shared" si="0"/>
        <v>0</v>
      </c>
      <c r="J17" s="990">
        <v>0</v>
      </c>
      <c r="K17" s="611">
        <v>0</v>
      </c>
      <c r="L17" s="883">
        <f t="shared" si="1"/>
        <v>284</v>
      </c>
      <c r="M17" s="990">
        <v>108</v>
      </c>
      <c r="N17" s="883">
        <v>176</v>
      </c>
    </row>
    <row r="18" spans="1:14" s="266" customFormat="1" ht="12">
      <c r="A18" s="1167">
        <v>5</v>
      </c>
      <c r="B18" s="1169" t="s">
        <v>1129</v>
      </c>
      <c r="C18" s="1182" t="s">
        <v>482</v>
      </c>
      <c r="D18" s="1173" t="s">
        <v>49</v>
      </c>
      <c r="E18" s="1173" t="s">
        <v>1295</v>
      </c>
      <c r="F18" s="1169">
        <f>G18+H18</f>
        <v>1.565</v>
      </c>
      <c r="G18" s="1184">
        <v>1.565</v>
      </c>
      <c r="H18" s="1178">
        <v>0</v>
      </c>
      <c r="I18" s="644">
        <f t="shared" si="0"/>
        <v>0</v>
      </c>
      <c r="J18" s="648">
        <v>0</v>
      </c>
      <c r="K18" s="646">
        <v>0</v>
      </c>
      <c r="L18" s="644">
        <f t="shared" si="1"/>
        <v>1</v>
      </c>
      <c r="M18" s="648">
        <v>0</v>
      </c>
      <c r="N18" s="644">
        <v>1</v>
      </c>
    </row>
    <row r="19" spans="1:14" s="266" customFormat="1" ht="12.75" thickBot="1">
      <c r="A19" s="1168"/>
      <c r="B19" s="1170"/>
      <c r="C19" s="1183"/>
      <c r="D19" s="1174"/>
      <c r="E19" s="1174"/>
      <c r="F19" s="1170"/>
      <c r="G19" s="1185"/>
      <c r="H19" s="1179"/>
      <c r="I19" s="883">
        <f t="shared" si="0"/>
        <v>0</v>
      </c>
      <c r="J19" s="611">
        <v>0</v>
      </c>
      <c r="K19" s="915">
        <v>0</v>
      </c>
      <c r="L19" s="883">
        <f t="shared" si="1"/>
        <v>11</v>
      </c>
      <c r="M19" s="611">
        <v>0</v>
      </c>
      <c r="N19" s="883">
        <v>11</v>
      </c>
    </row>
    <row r="20" spans="1:14" s="266" customFormat="1" ht="12">
      <c r="A20" s="1167">
        <v>6</v>
      </c>
      <c r="B20" s="1169" t="s">
        <v>1130</v>
      </c>
      <c r="C20" s="1182" t="s">
        <v>481</v>
      </c>
      <c r="D20" s="1173" t="s">
        <v>27</v>
      </c>
      <c r="E20" s="1169" t="s">
        <v>1296</v>
      </c>
      <c r="F20" s="1184">
        <f>G20+H20</f>
        <v>6.99</v>
      </c>
      <c r="G20" s="1184">
        <v>6.99</v>
      </c>
      <c r="H20" s="1178">
        <v>0</v>
      </c>
      <c r="I20" s="644">
        <f t="shared" si="0"/>
        <v>1</v>
      </c>
      <c r="J20" s="645">
        <v>1</v>
      </c>
      <c r="K20" s="646">
        <v>0</v>
      </c>
      <c r="L20" s="644">
        <f t="shared" si="1"/>
        <v>4</v>
      </c>
      <c r="M20" s="645">
        <v>4</v>
      </c>
      <c r="N20" s="644">
        <v>0</v>
      </c>
    </row>
    <row r="21" spans="1:14" s="266" customFormat="1" ht="12.75" thickBot="1">
      <c r="A21" s="1168"/>
      <c r="B21" s="1170"/>
      <c r="C21" s="1183"/>
      <c r="D21" s="1174"/>
      <c r="E21" s="1170"/>
      <c r="F21" s="1185"/>
      <c r="G21" s="1185"/>
      <c r="H21" s="1179"/>
      <c r="I21" s="885">
        <f t="shared" si="0"/>
        <v>22.8</v>
      </c>
      <c r="J21" s="650">
        <v>22.8</v>
      </c>
      <c r="K21" s="915">
        <v>0</v>
      </c>
      <c r="L21" s="883">
        <f t="shared" si="1"/>
        <v>90</v>
      </c>
      <c r="M21" s="990">
        <v>90</v>
      </c>
      <c r="N21" s="883">
        <v>0</v>
      </c>
    </row>
    <row r="22" spans="1:14" s="266" customFormat="1" ht="12">
      <c r="A22" s="1167">
        <v>7</v>
      </c>
      <c r="B22" s="1169" t="s">
        <v>1131</v>
      </c>
      <c r="C22" s="1182" t="s">
        <v>374</v>
      </c>
      <c r="D22" s="1173" t="s">
        <v>49</v>
      </c>
      <c r="E22" s="1173" t="s">
        <v>1300</v>
      </c>
      <c r="F22" s="1169">
        <f>G22+H22</f>
        <v>4.634</v>
      </c>
      <c r="G22" s="1169">
        <v>0</v>
      </c>
      <c r="H22" s="1169">
        <v>4.634</v>
      </c>
      <c r="I22" s="644">
        <f t="shared" si="0"/>
        <v>0</v>
      </c>
      <c r="J22" s="648">
        <v>0</v>
      </c>
      <c r="K22" s="646">
        <v>0</v>
      </c>
      <c r="L22" s="644">
        <f t="shared" si="1"/>
        <v>5</v>
      </c>
      <c r="M22" s="648">
        <v>4</v>
      </c>
      <c r="N22" s="644">
        <v>1</v>
      </c>
    </row>
    <row r="23" spans="1:14" s="266" customFormat="1" ht="12.75" thickBot="1">
      <c r="A23" s="1168"/>
      <c r="B23" s="1170"/>
      <c r="C23" s="1183"/>
      <c r="D23" s="1174"/>
      <c r="E23" s="1174"/>
      <c r="F23" s="1170"/>
      <c r="G23" s="1170"/>
      <c r="H23" s="1170"/>
      <c r="I23" s="883">
        <f t="shared" si="0"/>
        <v>0</v>
      </c>
      <c r="J23" s="611">
        <v>0</v>
      </c>
      <c r="K23" s="915">
        <v>0</v>
      </c>
      <c r="L23" s="883">
        <f t="shared" si="1"/>
        <v>59</v>
      </c>
      <c r="M23" s="611">
        <v>47</v>
      </c>
      <c r="N23" s="883">
        <v>12</v>
      </c>
    </row>
    <row r="24" spans="1:14" s="266" customFormat="1" ht="12">
      <c r="A24" s="1167">
        <v>8</v>
      </c>
      <c r="B24" s="1169" t="s">
        <v>1132</v>
      </c>
      <c r="C24" s="1182" t="s">
        <v>375</v>
      </c>
      <c r="D24" s="1173" t="s">
        <v>49</v>
      </c>
      <c r="E24" s="1169" t="s">
        <v>1355</v>
      </c>
      <c r="F24" s="1184">
        <f>G24+H24</f>
        <v>8.24</v>
      </c>
      <c r="G24" s="1184">
        <v>0.935</v>
      </c>
      <c r="H24" s="1184">
        <v>7.305</v>
      </c>
      <c r="I24" s="644">
        <f t="shared" si="0"/>
        <v>0</v>
      </c>
      <c r="J24" s="645">
        <v>0</v>
      </c>
      <c r="K24" s="646">
        <v>0</v>
      </c>
      <c r="L24" s="644">
        <f t="shared" si="1"/>
        <v>11</v>
      </c>
      <c r="M24" s="645"/>
      <c r="N24" s="644">
        <v>11</v>
      </c>
    </row>
    <row r="25" spans="1:14" s="266" customFormat="1" ht="12.75" thickBot="1">
      <c r="A25" s="1168"/>
      <c r="B25" s="1170"/>
      <c r="C25" s="1183"/>
      <c r="D25" s="1174"/>
      <c r="E25" s="1170"/>
      <c r="F25" s="1185"/>
      <c r="G25" s="1185"/>
      <c r="H25" s="1185"/>
      <c r="I25" s="883">
        <f t="shared" si="0"/>
        <v>0</v>
      </c>
      <c r="J25" s="990">
        <v>0</v>
      </c>
      <c r="K25" s="915">
        <v>0</v>
      </c>
      <c r="L25" s="883">
        <f t="shared" si="1"/>
        <v>169</v>
      </c>
      <c r="M25" s="990"/>
      <c r="N25" s="883">
        <v>169</v>
      </c>
    </row>
    <row r="26" spans="1:14" s="266" customFormat="1" ht="12">
      <c r="A26" s="1167">
        <v>9</v>
      </c>
      <c r="B26" s="1169" t="s">
        <v>1133</v>
      </c>
      <c r="C26" s="1182" t="s">
        <v>376</v>
      </c>
      <c r="D26" s="1173" t="s">
        <v>27</v>
      </c>
      <c r="E26" s="1169" t="s">
        <v>694</v>
      </c>
      <c r="F26" s="1184">
        <f>G26+H26</f>
        <v>6.13</v>
      </c>
      <c r="G26" s="1184">
        <v>1.098</v>
      </c>
      <c r="H26" s="1184">
        <v>5.032</v>
      </c>
      <c r="I26" s="644">
        <f t="shared" si="0"/>
        <v>0</v>
      </c>
      <c r="J26" s="645">
        <v>0</v>
      </c>
      <c r="K26" s="646">
        <v>0</v>
      </c>
      <c r="L26" s="644">
        <f t="shared" si="1"/>
        <v>9</v>
      </c>
      <c r="M26" s="645">
        <v>0</v>
      </c>
      <c r="N26" s="644">
        <v>9</v>
      </c>
    </row>
    <row r="27" spans="1:14" s="266" customFormat="1" ht="12.75" thickBot="1">
      <c r="A27" s="1168"/>
      <c r="B27" s="1170"/>
      <c r="C27" s="1183"/>
      <c r="D27" s="1174"/>
      <c r="E27" s="1170"/>
      <c r="F27" s="1185"/>
      <c r="G27" s="1185"/>
      <c r="H27" s="1185"/>
      <c r="I27" s="883">
        <f t="shared" si="0"/>
        <v>0</v>
      </c>
      <c r="J27" s="990">
        <v>0</v>
      </c>
      <c r="K27" s="915">
        <v>0</v>
      </c>
      <c r="L27" s="883">
        <f t="shared" si="1"/>
        <v>154</v>
      </c>
      <c r="M27" s="990">
        <v>0</v>
      </c>
      <c r="N27" s="883">
        <v>154</v>
      </c>
    </row>
    <row r="28" spans="1:14" s="266" customFormat="1" ht="12">
      <c r="A28" s="1167">
        <v>10</v>
      </c>
      <c r="B28" s="1169" t="s">
        <v>1134</v>
      </c>
      <c r="C28" s="1182" t="s">
        <v>377</v>
      </c>
      <c r="D28" s="1173" t="s">
        <v>49</v>
      </c>
      <c r="E28" s="1169" t="s">
        <v>1294</v>
      </c>
      <c r="F28" s="1184">
        <f>G28+H28</f>
        <v>1.665</v>
      </c>
      <c r="G28" s="1178">
        <v>0</v>
      </c>
      <c r="H28" s="1184">
        <v>1.665</v>
      </c>
      <c r="I28" s="644">
        <f t="shared" si="0"/>
        <v>0</v>
      </c>
      <c r="J28" s="645">
        <v>0</v>
      </c>
      <c r="K28" s="646">
        <v>0</v>
      </c>
      <c r="L28" s="644">
        <f t="shared" si="1"/>
        <v>1</v>
      </c>
      <c r="M28" s="645">
        <v>1</v>
      </c>
      <c r="N28" s="644">
        <v>0</v>
      </c>
    </row>
    <row r="29" spans="1:14" s="266" customFormat="1" ht="12.75" thickBot="1">
      <c r="A29" s="1168"/>
      <c r="B29" s="1170"/>
      <c r="C29" s="1183"/>
      <c r="D29" s="1174"/>
      <c r="E29" s="1170"/>
      <c r="F29" s="1185"/>
      <c r="G29" s="1179"/>
      <c r="H29" s="1185"/>
      <c r="I29" s="883">
        <f t="shared" si="0"/>
        <v>0</v>
      </c>
      <c r="J29" s="990">
        <v>0</v>
      </c>
      <c r="K29" s="915"/>
      <c r="L29" s="883">
        <f t="shared" si="1"/>
        <v>10</v>
      </c>
      <c r="M29" s="990">
        <v>10</v>
      </c>
      <c r="N29" s="883">
        <v>0</v>
      </c>
    </row>
    <row r="30" spans="1:14" s="266" customFormat="1" ht="12" customHeight="1">
      <c r="A30" s="1167">
        <v>11</v>
      </c>
      <c r="B30" s="1169" t="s">
        <v>1135</v>
      </c>
      <c r="C30" s="1182" t="s">
        <v>464</v>
      </c>
      <c r="D30" s="1173" t="s">
        <v>49</v>
      </c>
      <c r="E30" s="1839" t="s">
        <v>1526</v>
      </c>
      <c r="F30" s="1178">
        <f>G30+H30</f>
        <v>2.98</v>
      </c>
      <c r="G30" s="1178">
        <v>0</v>
      </c>
      <c r="H30" s="1178">
        <v>2.98</v>
      </c>
      <c r="I30" s="644">
        <f t="shared" si="0"/>
        <v>0</v>
      </c>
      <c r="J30" s="645">
        <v>0</v>
      </c>
      <c r="K30" s="646">
        <v>0</v>
      </c>
      <c r="L30" s="644">
        <f t="shared" si="1"/>
        <v>3</v>
      </c>
      <c r="M30" s="645">
        <v>2</v>
      </c>
      <c r="N30" s="644">
        <v>1</v>
      </c>
    </row>
    <row r="31" spans="1:14" s="266" customFormat="1" ht="12" customHeight="1" thickBot="1">
      <c r="A31" s="1168"/>
      <c r="B31" s="1170"/>
      <c r="C31" s="1183"/>
      <c r="D31" s="1174"/>
      <c r="E31" s="1840"/>
      <c r="F31" s="1179"/>
      <c r="G31" s="1179"/>
      <c r="H31" s="1179"/>
      <c r="I31" s="883">
        <f t="shared" si="0"/>
        <v>0</v>
      </c>
      <c r="J31" s="990">
        <v>0</v>
      </c>
      <c r="K31" s="915">
        <v>0</v>
      </c>
      <c r="L31" s="883">
        <f t="shared" si="1"/>
        <v>35</v>
      </c>
      <c r="M31" s="990">
        <v>24</v>
      </c>
      <c r="N31" s="883">
        <v>11</v>
      </c>
    </row>
    <row r="32" spans="1:14" s="266" customFormat="1" ht="12">
      <c r="A32" s="1167">
        <v>12</v>
      </c>
      <c r="B32" s="1169" t="s">
        <v>1136</v>
      </c>
      <c r="C32" s="1182" t="s">
        <v>480</v>
      </c>
      <c r="D32" s="1173" t="s">
        <v>49</v>
      </c>
      <c r="E32" s="1169" t="s">
        <v>1301</v>
      </c>
      <c r="F32" s="1184">
        <f>G32+H32</f>
        <v>1.795</v>
      </c>
      <c r="G32" s="1184">
        <v>1.795</v>
      </c>
      <c r="H32" s="1178">
        <v>0</v>
      </c>
      <c r="I32" s="644">
        <f t="shared" si="0"/>
        <v>0</v>
      </c>
      <c r="J32" s="645">
        <v>0</v>
      </c>
      <c r="K32" s="646">
        <v>0</v>
      </c>
      <c r="L32" s="644">
        <f t="shared" si="1"/>
        <v>0</v>
      </c>
      <c r="M32" s="645">
        <v>0</v>
      </c>
      <c r="N32" s="644">
        <v>0</v>
      </c>
    </row>
    <row r="33" spans="1:14" s="266" customFormat="1" ht="12.75" thickBot="1">
      <c r="A33" s="1168"/>
      <c r="B33" s="1170"/>
      <c r="C33" s="1183"/>
      <c r="D33" s="1174"/>
      <c r="E33" s="1170"/>
      <c r="F33" s="1185"/>
      <c r="G33" s="1185"/>
      <c r="H33" s="1179"/>
      <c r="I33" s="883">
        <f t="shared" si="0"/>
        <v>0</v>
      </c>
      <c r="J33" s="990">
        <v>0</v>
      </c>
      <c r="K33" s="915">
        <v>0</v>
      </c>
      <c r="L33" s="883">
        <f t="shared" si="1"/>
        <v>0</v>
      </c>
      <c r="M33" s="990">
        <v>0</v>
      </c>
      <c r="N33" s="883">
        <v>0</v>
      </c>
    </row>
    <row r="34" spans="1:14" s="266" customFormat="1" ht="12">
      <c r="A34" s="1167">
        <v>13</v>
      </c>
      <c r="B34" s="1169" t="s">
        <v>1137</v>
      </c>
      <c r="C34" s="1182" t="s">
        <v>440</v>
      </c>
      <c r="D34" s="1173" t="s">
        <v>27</v>
      </c>
      <c r="E34" s="1173" t="s">
        <v>1370</v>
      </c>
      <c r="F34" s="1178">
        <f>G34+H34</f>
        <v>36.8</v>
      </c>
      <c r="G34" s="1184">
        <v>24.72</v>
      </c>
      <c r="H34" s="1184">
        <v>12.08</v>
      </c>
      <c r="I34" s="644">
        <f t="shared" si="0"/>
        <v>1</v>
      </c>
      <c r="J34" s="645">
        <v>1</v>
      </c>
      <c r="K34" s="646">
        <v>0</v>
      </c>
      <c r="L34" s="644">
        <f t="shared" si="1"/>
        <v>32</v>
      </c>
      <c r="M34" s="645">
        <v>17</v>
      </c>
      <c r="N34" s="644">
        <v>15</v>
      </c>
    </row>
    <row r="35" spans="1:14" s="266" customFormat="1" ht="12.75" thickBot="1">
      <c r="A35" s="1168"/>
      <c r="B35" s="1170"/>
      <c r="C35" s="1183"/>
      <c r="D35" s="1174"/>
      <c r="E35" s="1174"/>
      <c r="F35" s="1179"/>
      <c r="G35" s="1185"/>
      <c r="H35" s="1185"/>
      <c r="I35" s="885">
        <f t="shared" si="0"/>
        <v>33.9</v>
      </c>
      <c r="J35" s="650">
        <v>33.9</v>
      </c>
      <c r="K35" s="915">
        <v>0</v>
      </c>
      <c r="L35" s="883">
        <f t="shared" si="1"/>
        <v>499</v>
      </c>
      <c r="M35" s="990">
        <v>245</v>
      </c>
      <c r="N35" s="883">
        <v>254</v>
      </c>
    </row>
    <row r="36" spans="1:14" s="266" customFormat="1" ht="12">
      <c r="A36" s="1167">
        <v>14</v>
      </c>
      <c r="B36" s="1169" t="s">
        <v>1138</v>
      </c>
      <c r="C36" s="1182" t="s">
        <v>1170</v>
      </c>
      <c r="D36" s="1173" t="s">
        <v>49</v>
      </c>
      <c r="E36" s="1173" t="s">
        <v>1171</v>
      </c>
      <c r="F36" s="1184">
        <f>G36+H36</f>
        <v>11.022</v>
      </c>
      <c r="G36" s="1184">
        <v>0.31</v>
      </c>
      <c r="H36" s="1184">
        <v>10.712</v>
      </c>
      <c r="I36" s="644">
        <f t="shared" si="0"/>
        <v>0</v>
      </c>
      <c r="J36" s="645">
        <v>0</v>
      </c>
      <c r="K36" s="646">
        <v>0</v>
      </c>
      <c r="L36" s="644">
        <f t="shared" si="1"/>
        <v>7</v>
      </c>
      <c r="M36" s="645">
        <v>6</v>
      </c>
      <c r="N36" s="644">
        <v>1</v>
      </c>
    </row>
    <row r="37" spans="1:14" s="266" customFormat="1" ht="12.75" thickBot="1">
      <c r="A37" s="1168"/>
      <c r="B37" s="1170"/>
      <c r="C37" s="1183"/>
      <c r="D37" s="1174"/>
      <c r="E37" s="1174"/>
      <c r="F37" s="1185"/>
      <c r="G37" s="1185"/>
      <c r="H37" s="1185"/>
      <c r="I37" s="883">
        <f t="shared" si="0"/>
        <v>0</v>
      </c>
      <c r="J37" s="990">
        <v>0</v>
      </c>
      <c r="K37" s="915">
        <v>0</v>
      </c>
      <c r="L37" s="883">
        <f t="shared" si="1"/>
        <v>116</v>
      </c>
      <c r="M37" s="990">
        <v>102</v>
      </c>
      <c r="N37" s="883">
        <v>14</v>
      </c>
    </row>
    <row r="38" spans="1:14" s="266" customFormat="1" ht="12">
      <c r="A38" s="1167">
        <v>15</v>
      </c>
      <c r="B38" s="1169" t="s">
        <v>1139</v>
      </c>
      <c r="C38" s="1182" t="s">
        <v>379</v>
      </c>
      <c r="D38" s="1173" t="s">
        <v>49</v>
      </c>
      <c r="E38" s="1173" t="s">
        <v>722</v>
      </c>
      <c r="F38" s="1184">
        <f>G38+H38</f>
        <v>8.369</v>
      </c>
      <c r="G38" s="1184">
        <v>0</v>
      </c>
      <c r="H38" s="1184">
        <v>8.369</v>
      </c>
      <c r="I38" s="644">
        <f t="shared" si="0"/>
        <v>0</v>
      </c>
      <c r="J38" s="645">
        <v>0</v>
      </c>
      <c r="K38" s="646">
        <v>0</v>
      </c>
      <c r="L38" s="644">
        <f t="shared" si="1"/>
        <v>6</v>
      </c>
      <c r="M38" s="645"/>
      <c r="N38" s="644">
        <v>6</v>
      </c>
    </row>
    <row r="39" spans="1:14" s="266" customFormat="1" ht="12.75" thickBot="1">
      <c r="A39" s="1168"/>
      <c r="B39" s="1170"/>
      <c r="C39" s="1183"/>
      <c r="D39" s="1174"/>
      <c r="E39" s="1174"/>
      <c r="F39" s="1185"/>
      <c r="G39" s="1185"/>
      <c r="H39" s="1185"/>
      <c r="I39" s="883">
        <f t="shared" si="0"/>
        <v>0</v>
      </c>
      <c r="J39" s="990">
        <v>0</v>
      </c>
      <c r="K39" s="915">
        <v>0</v>
      </c>
      <c r="L39" s="883">
        <f t="shared" si="1"/>
        <v>105</v>
      </c>
      <c r="M39" s="990"/>
      <c r="N39" s="883">
        <v>105</v>
      </c>
    </row>
    <row r="40" spans="1:14" s="266" customFormat="1" ht="12" customHeight="1" hidden="1" thickBot="1">
      <c r="A40" s="1163"/>
      <c r="B40" s="1164"/>
      <c r="C40" s="1332"/>
      <c r="D40" s="1166" t="s">
        <v>49</v>
      </c>
      <c r="E40" s="1166" t="s">
        <v>13</v>
      </c>
      <c r="F40" s="1395">
        <f>G40+H40</f>
        <v>0</v>
      </c>
      <c r="G40" s="1395"/>
      <c r="H40" s="1395"/>
      <c r="I40" s="652">
        <f aca="true" t="shared" si="2" ref="I40:I61">J40+K40</f>
        <v>0</v>
      </c>
      <c r="J40" s="706">
        <v>0</v>
      </c>
      <c r="K40" s="654">
        <v>0</v>
      </c>
      <c r="L40" s="652">
        <f t="shared" si="1"/>
        <v>0</v>
      </c>
      <c r="M40" s="706"/>
      <c r="N40" s="652">
        <v>0</v>
      </c>
    </row>
    <row r="41" spans="1:14" s="266" customFormat="1" ht="12" customHeight="1" hidden="1">
      <c r="A41" s="1163"/>
      <c r="B41" s="1164"/>
      <c r="C41" s="1332"/>
      <c r="D41" s="1166"/>
      <c r="E41" s="1166"/>
      <c r="F41" s="1395"/>
      <c r="G41" s="1395"/>
      <c r="H41" s="1395"/>
      <c r="I41" s="880">
        <f t="shared" si="2"/>
        <v>0</v>
      </c>
      <c r="J41" s="605">
        <v>0</v>
      </c>
      <c r="K41" s="914">
        <v>0</v>
      </c>
      <c r="L41" s="880">
        <f t="shared" si="1"/>
        <v>0</v>
      </c>
      <c r="M41" s="605"/>
      <c r="N41" s="880">
        <v>0</v>
      </c>
    </row>
    <row r="42" spans="1:14" s="266" customFormat="1" ht="12">
      <c r="A42" s="1167">
        <v>16</v>
      </c>
      <c r="B42" s="1169" t="s">
        <v>1140</v>
      </c>
      <c r="C42" s="1182" t="s">
        <v>380</v>
      </c>
      <c r="D42" s="1173" t="s">
        <v>49</v>
      </c>
      <c r="E42" s="1173" t="s">
        <v>723</v>
      </c>
      <c r="F42" s="1184">
        <f>G42+H42</f>
        <v>2.46</v>
      </c>
      <c r="G42" s="1184">
        <v>0</v>
      </c>
      <c r="H42" s="1184">
        <v>2.46</v>
      </c>
      <c r="I42" s="644">
        <f t="shared" si="2"/>
        <v>0</v>
      </c>
      <c r="J42" s="645">
        <v>0</v>
      </c>
      <c r="K42" s="646">
        <v>0</v>
      </c>
      <c r="L42" s="644">
        <f t="shared" si="1"/>
        <v>2</v>
      </c>
      <c r="M42" s="645">
        <v>2</v>
      </c>
      <c r="N42" s="644">
        <v>0</v>
      </c>
    </row>
    <row r="43" spans="1:14" s="266" customFormat="1" ht="12.75" thickBot="1">
      <c r="A43" s="1168"/>
      <c r="B43" s="1170"/>
      <c r="C43" s="1183"/>
      <c r="D43" s="1174"/>
      <c r="E43" s="1174"/>
      <c r="F43" s="1185"/>
      <c r="G43" s="1185"/>
      <c r="H43" s="1185"/>
      <c r="I43" s="883">
        <f t="shared" si="2"/>
        <v>0</v>
      </c>
      <c r="J43" s="990">
        <v>0</v>
      </c>
      <c r="K43" s="915">
        <v>0</v>
      </c>
      <c r="L43" s="883">
        <f t="shared" si="1"/>
        <v>23</v>
      </c>
      <c r="M43" s="990">
        <v>23</v>
      </c>
      <c r="N43" s="883">
        <v>0</v>
      </c>
    </row>
    <row r="44" spans="1:14" s="266" customFormat="1" ht="12">
      <c r="A44" s="1167">
        <v>17</v>
      </c>
      <c r="B44" s="1169" t="s">
        <v>1141</v>
      </c>
      <c r="C44" s="1182" t="s">
        <v>465</v>
      </c>
      <c r="D44" s="1173" t="s">
        <v>49</v>
      </c>
      <c r="E44" s="1173" t="s">
        <v>724</v>
      </c>
      <c r="F44" s="1184">
        <f>G44+H44</f>
        <v>6.153</v>
      </c>
      <c r="G44" s="1184">
        <v>0</v>
      </c>
      <c r="H44" s="1184">
        <v>6.153</v>
      </c>
      <c r="I44" s="644">
        <f t="shared" si="2"/>
        <v>0</v>
      </c>
      <c r="J44" s="645">
        <v>0</v>
      </c>
      <c r="K44" s="646">
        <v>0</v>
      </c>
      <c r="L44" s="644">
        <f t="shared" si="1"/>
        <v>4</v>
      </c>
      <c r="M44" s="645">
        <v>4</v>
      </c>
      <c r="N44" s="644">
        <v>0</v>
      </c>
    </row>
    <row r="45" spans="1:14" s="266" customFormat="1" ht="12.75" thickBot="1">
      <c r="A45" s="1168"/>
      <c r="B45" s="1170"/>
      <c r="C45" s="1183"/>
      <c r="D45" s="1174"/>
      <c r="E45" s="1174"/>
      <c r="F45" s="1185"/>
      <c r="G45" s="1185"/>
      <c r="H45" s="1185"/>
      <c r="I45" s="883">
        <f t="shared" si="2"/>
        <v>0</v>
      </c>
      <c r="J45" s="990">
        <v>0</v>
      </c>
      <c r="K45" s="915">
        <v>0</v>
      </c>
      <c r="L45" s="883">
        <f t="shared" si="1"/>
        <v>45</v>
      </c>
      <c r="M45" s="990">
        <v>45</v>
      </c>
      <c r="N45" s="883">
        <v>0</v>
      </c>
    </row>
    <row r="46" spans="1:14" s="266" customFormat="1" ht="12">
      <c r="A46" s="1167">
        <v>18</v>
      </c>
      <c r="B46" s="1169" t="s">
        <v>1142</v>
      </c>
      <c r="C46" s="1182" t="s">
        <v>1172</v>
      </c>
      <c r="D46" s="1173" t="s">
        <v>49</v>
      </c>
      <c r="E46" s="1173" t="s">
        <v>1356</v>
      </c>
      <c r="F46" s="1169">
        <f>G46+H46</f>
        <v>3.095</v>
      </c>
      <c r="G46" s="1178">
        <v>0</v>
      </c>
      <c r="H46" s="1184">
        <v>3.095</v>
      </c>
      <c r="I46" s="644">
        <f t="shared" si="2"/>
        <v>0</v>
      </c>
      <c r="J46" s="645">
        <v>0</v>
      </c>
      <c r="K46" s="646">
        <v>0</v>
      </c>
      <c r="L46" s="644">
        <f t="shared" si="1"/>
        <v>6</v>
      </c>
      <c r="M46" s="645">
        <v>2</v>
      </c>
      <c r="N46" s="644">
        <v>4</v>
      </c>
    </row>
    <row r="47" spans="1:14" s="266" customFormat="1" ht="12.75" thickBot="1">
      <c r="A47" s="1168"/>
      <c r="B47" s="1170"/>
      <c r="C47" s="1183"/>
      <c r="D47" s="1174"/>
      <c r="E47" s="1174"/>
      <c r="F47" s="1170"/>
      <c r="G47" s="1179"/>
      <c r="H47" s="1185"/>
      <c r="I47" s="883">
        <f t="shared" si="2"/>
        <v>0</v>
      </c>
      <c r="J47" s="990">
        <v>0</v>
      </c>
      <c r="K47" s="915">
        <v>0</v>
      </c>
      <c r="L47" s="883">
        <f t="shared" si="1"/>
        <v>77</v>
      </c>
      <c r="M47" s="990">
        <v>30</v>
      </c>
      <c r="N47" s="883">
        <v>47</v>
      </c>
    </row>
    <row r="48" spans="1:14" s="266" customFormat="1" ht="12">
      <c r="A48" s="1167">
        <v>19</v>
      </c>
      <c r="B48" s="1169" t="s">
        <v>1143</v>
      </c>
      <c r="C48" s="1182" t="s">
        <v>1173</v>
      </c>
      <c r="D48" s="1173" t="s">
        <v>49</v>
      </c>
      <c r="E48" s="1173" t="s">
        <v>1174</v>
      </c>
      <c r="F48" s="1169">
        <f>G48+H48</f>
        <v>1.533</v>
      </c>
      <c r="G48" s="1178">
        <v>0</v>
      </c>
      <c r="H48" s="1184">
        <v>1.533</v>
      </c>
      <c r="I48" s="644">
        <f t="shared" si="2"/>
        <v>0</v>
      </c>
      <c r="J48" s="645">
        <v>0</v>
      </c>
      <c r="K48" s="646">
        <v>0</v>
      </c>
      <c r="L48" s="644">
        <f t="shared" si="1"/>
        <v>0</v>
      </c>
      <c r="M48" s="645">
        <v>0</v>
      </c>
      <c r="N48" s="644">
        <v>0</v>
      </c>
    </row>
    <row r="49" spans="1:14" s="266" customFormat="1" ht="12.75" thickBot="1">
      <c r="A49" s="1168"/>
      <c r="B49" s="1170"/>
      <c r="C49" s="1183"/>
      <c r="D49" s="1174"/>
      <c r="E49" s="1174"/>
      <c r="F49" s="1170"/>
      <c r="G49" s="1179"/>
      <c r="H49" s="1185"/>
      <c r="I49" s="883">
        <f t="shared" si="2"/>
        <v>0</v>
      </c>
      <c r="J49" s="990">
        <v>0</v>
      </c>
      <c r="K49" s="915">
        <v>0</v>
      </c>
      <c r="L49" s="883">
        <f t="shared" si="1"/>
        <v>0</v>
      </c>
      <c r="M49" s="990">
        <v>0</v>
      </c>
      <c r="N49" s="883">
        <v>0</v>
      </c>
    </row>
    <row r="50" spans="1:14" s="266" customFormat="1" ht="12">
      <c r="A50" s="1167">
        <v>20</v>
      </c>
      <c r="B50" s="1169" t="s">
        <v>1144</v>
      </c>
      <c r="C50" s="1182" t="s">
        <v>381</v>
      </c>
      <c r="D50" s="1173" t="s">
        <v>49</v>
      </c>
      <c r="E50" s="1173" t="s">
        <v>43</v>
      </c>
      <c r="F50" s="1178">
        <f>G50+H50</f>
        <v>3</v>
      </c>
      <c r="G50" s="1178">
        <v>0</v>
      </c>
      <c r="H50" s="1178">
        <v>3</v>
      </c>
      <c r="I50" s="644">
        <f t="shared" si="2"/>
        <v>0</v>
      </c>
      <c r="J50" s="645">
        <v>0</v>
      </c>
      <c r="K50" s="646">
        <v>0</v>
      </c>
      <c r="L50" s="644">
        <f t="shared" si="1"/>
        <v>6</v>
      </c>
      <c r="M50" s="645">
        <v>2</v>
      </c>
      <c r="N50" s="644">
        <v>4</v>
      </c>
    </row>
    <row r="51" spans="1:14" s="266" customFormat="1" ht="12.75" thickBot="1">
      <c r="A51" s="1168"/>
      <c r="B51" s="1170"/>
      <c r="C51" s="1183"/>
      <c r="D51" s="1174"/>
      <c r="E51" s="1174"/>
      <c r="F51" s="1179"/>
      <c r="G51" s="1179"/>
      <c r="H51" s="1179"/>
      <c r="I51" s="883">
        <f t="shared" si="2"/>
        <v>0</v>
      </c>
      <c r="J51" s="990">
        <v>0</v>
      </c>
      <c r="K51" s="915">
        <v>0</v>
      </c>
      <c r="L51" s="883">
        <f t="shared" si="1"/>
        <v>65</v>
      </c>
      <c r="M51" s="990">
        <v>32</v>
      </c>
      <c r="N51" s="883">
        <v>33</v>
      </c>
    </row>
    <row r="52" spans="1:14" s="266" customFormat="1" ht="12">
      <c r="A52" s="1167">
        <v>21</v>
      </c>
      <c r="B52" s="1169" t="s">
        <v>1145</v>
      </c>
      <c r="C52" s="1182" t="s">
        <v>382</v>
      </c>
      <c r="D52" s="1173" t="s">
        <v>27</v>
      </c>
      <c r="E52" s="1173" t="s">
        <v>1423</v>
      </c>
      <c r="F52" s="1184">
        <f>G52+H52</f>
        <v>9.51</v>
      </c>
      <c r="G52" s="1178">
        <v>0</v>
      </c>
      <c r="H52" s="1184">
        <v>9.51</v>
      </c>
      <c r="I52" s="644">
        <f t="shared" si="2"/>
        <v>0</v>
      </c>
      <c r="J52" s="648">
        <v>0</v>
      </c>
      <c r="K52" s="644">
        <v>0</v>
      </c>
      <c r="L52" s="644">
        <f t="shared" si="1"/>
        <v>4</v>
      </c>
      <c r="M52" s="645">
        <v>2</v>
      </c>
      <c r="N52" s="644">
        <v>2</v>
      </c>
    </row>
    <row r="53" spans="1:14" s="266" customFormat="1" ht="12.75" thickBot="1">
      <c r="A53" s="1168"/>
      <c r="B53" s="1170"/>
      <c r="C53" s="1183"/>
      <c r="D53" s="1174"/>
      <c r="E53" s="1174"/>
      <c r="F53" s="1185"/>
      <c r="G53" s="1179"/>
      <c r="H53" s="1185"/>
      <c r="I53" s="883">
        <f t="shared" si="2"/>
        <v>0</v>
      </c>
      <c r="J53" s="611">
        <v>0</v>
      </c>
      <c r="K53" s="883">
        <v>0</v>
      </c>
      <c r="L53" s="883">
        <f t="shared" si="1"/>
        <v>59</v>
      </c>
      <c r="M53" s="990">
        <v>38</v>
      </c>
      <c r="N53" s="883">
        <v>21</v>
      </c>
    </row>
    <row r="54" spans="1:14" s="266" customFormat="1" ht="12">
      <c r="A54" s="1167">
        <v>22</v>
      </c>
      <c r="B54" s="1169" t="s">
        <v>1146</v>
      </c>
      <c r="C54" s="1182" t="s">
        <v>378</v>
      </c>
      <c r="D54" s="1173" t="s">
        <v>27</v>
      </c>
      <c r="E54" s="1173" t="s">
        <v>1299</v>
      </c>
      <c r="F54" s="1184">
        <f>G54+H54</f>
        <v>5.163</v>
      </c>
      <c r="G54" s="1184">
        <v>0</v>
      </c>
      <c r="H54" s="1184">
        <v>5.163</v>
      </c>
      <c r="I54" s="644">
        <f>J54+K54</f>
        <v>0</v>
      </c>
      <c r="J54" s="645">
        <v>0</v>
      </c>
      <c r="K54" s="646">
        <v>0</v>
      </c>
      <c r="L54" s="644">
        <f>M54+N54</f>
        <v>3</v>
      </c>
      <c r="M54" s="645">
        <v>0</v>
      </c>
      <c r="N54" s="644">
        <v>3</v>
      </c>
    </row>
    <row r="55" spans="1:14" s="266" customFormat="1" ht="12.75" thickBot="1">
      <c r="A55" s="1168"/>
      <c r="B55" s="1170"/>
      <c r="C55" s="1183"/>
      <c r="D55" s="1174"/>
      <c r="E55" s="1174"/>
      <c r="F55" s="1185"/>
      <c r="G55" s="1185"/>
      <c r="H55" s="1185"/>
      <c r="I55" s="883">
        <f>J55+K55</f>
        <v>0</v>
      </c>
      <c r="J55" s="990">
        <v>0</v>
      </c>
      <c r="K55" s="915">
        <v>0</v>
      </c>
      <c r="L55" s="883">
        <f>M55+N55</f>
        <v>62</v>
      </c>
      <c r="M55" s="990">
        <v>0</v>
      </c>
      <c r="N55" s="883">
        <v>62</v>
      </c>
    </row>
    <row r="56" spans="1:14" s="266" customFormat="1" ht="12" customHeight="1">
      <c r="A56" s="1736">
        <v>23</v>
      </c>
      <c r="B56" s="1169" t="s">
        <v>1156</v>
      </c>
      <c r="C56" s="1232" t="s">
        <v>599</v>
      </c>
      <c r="D56" s="1173" t="s">
        <v>27</v>
      </c>
      <c r="E56" s="1173" t="s">
        <v>95</v>
      </c>
      <c r="F56" s="1184">
        <f>G56+H56</f>
        <v>8.2</v>
      </c>
      <c r="G56" s="1184">
        <v>0.557</v>
      </c>
      <c r="H56" s="1184">
        <v>7.643</v>
      </c>
      <c r="I56" s="644">
        <f t="shared" si="2"/>
        <v>0</v>
      </c>
      <c r="J56" s="645"/>
      <c r="K56" s="646"/>
      <c r="L56" s="644">
        <f aca="true" t="shared" si="3" ref="L56:L61">M56+N56</f>
        <v>17</v>
      </c>
      <c r="M56" s="645"/>
      <c r="N56" s="644">
        <v>17</v>
      </c>
    </row>
    <row r="57" spans="1:14" s="266" customFormat="1" ht="12" customHeight="1" thickBot="1">
      <c r="A57" s="1737"/>
      <c r="B57" s="1170"/>
      <c r="C57" s="1233"/>
      <c r="D57" s="1174"/>
      <c r="E57" s="1174"/>
      <c r="F57" s="1185"/>
      <c r="G57" s="1185"/>
      <c r="H57" s="1185"/>
      <c r="I57" s="883">
        <f t="shared" si="2"/>
        <v>0</v>
      </c>
      <c r="J57" s="990"/>
      <c r="K57" s="915"/>
      <c r="L57" s="883">
        <f t="shared" si="3"/>
        <v>347</v>
      </c>
      <c r="M57" s="990"/>
      <c r="N57" s="883">
        <v>347</v>
      </c>
    </row>
    <row r="58" spans="1:14" s="266" customFormat="1" ht="12.75" hidden="1" thickBot="1">
      <c r="A58" s="1741">
        <v>25</v>
      </c>
      <c r="B58" s="1164"/>
      <c r="C58" s="1166"/>
      <c r="D58" s="1166"/>
      <c r="E58" s="1166"/>
      <c r="F58" s="1164">
        <f>G58+H58</f>
        <v>0</v>
      </c>
      <c r="G58" s="1161"/>
      <c r="H58" s="1161"/>
      <c r="I58" s="652">
        <f t="shared" si="2"/>
        <v>0</v>
      </c>
      <c r="J58" s="706"/>
      <c r="K58" s="654"/>
      <c r="L58" s="652">
        <f t="shared" si="3"/>
        <v>0</v>
      </c>
      <c r="M58" s="706"/>
      <c r="N58" s="652"/>
    </row>
    <row r="59" spans="1:14" s="266" customFormat="1" ht="12.75" hidden="1" thickBot="1">
      <c r="A59" s="1842"/>
      <c r="B59" s="1358"/>
      <c r="C59" s="1331"/>
      <c r="D59" s="1331"/>
      <c r="E59" s="1331"/>
      <c r="F59" s="1358"/>
      <c r="G59" s="1366"/>
      <c r="H59" s="1366"/>
      <c r="I59" s="922">
        <f t="shared" si="2"/>
        <v>0</v>
      </c>
      <c r="J59" s="605"/>
      <c r="K59" s="914"/>
      <c r="L59" s="922">
        <f t="shared" si="3"/>
        <v>0</v>
      </c>
      <c r="M59" s="605"/>
      <c r="N59" s="880"/>
    </row>
    <row r="60" spans="1:14" s="266" customFormat="1" ht="12.75" hidden="1" thickBot="1">
      <c r="A60" s="1843">
        <v>26</v>
      </c>
      <c r="B60" s="1392"/>
      <c r="C60" s="1823"/>
      <c r="D60" s="1823"/>
      <c r="E60" s="1823"/>
      <c r="F60" s="1822">
        <f>G60+H60</f>
        <v>0</v>
      </c>
      <c r="G60" s="1822"/>
      <c r="H60" s="1822"/>
      <c r="I60" s="937">
        <f t="shared" si="2"/>
        <v>0</v>
      </c>
      <c r="J60" s="771"/>
      <c r="K60" s="988"/>
      <c r="L60" s="937">
        <f t="shared" si="3"/>
        <v>0</v>
      </c>
      <c r="M60" s="771"/>
      <c r="N60" s="937"/>
    </row>
    <row r="61" spans="1:14" s="266" customFormat="1" ht="12.75" hidden="1" thickBot="1">
      <c r="A61" s="1842"/>
      <c r="B61" s="1358"/>
      <c r="C61" s="1331"/>
      <c r="D61" s="1331"/>
      <c r="E61" s="1331"/>
      <c r="F61" s="1366"/>
      <c r="G61" s="1366"/>
      <c r="H61" s="1366"/>
      <c r="I61" s="922">
        <f t="shared" si="2"/>
        <v>0</v>
      </c>
      <c r="J61" s="678"/>
      <c r="K61" s="984"/>
      <c r="L61" s="922">
        <f t="shared" si="3"/>
        <v>0</v>
      </c>
      <c r="M61" s="678"/>
      <c r="N61" s="922"/>
    </row>
    <row r="62" spans="1:14" s="266" customFormat="1" ht="18.75" customHeight="1" hidden="1">
      <c r="A62" s="1076"/>
      <c r="B62" s="937"/>
      <c r="C62" s="772"/>
      <c r="D62" s="965"/>
      <c r="E62" s="772"/>
      <c r="F62" s="937"/>
      <c r="G62" s="773"/>
      <c r="H62" s="774"/>
      <c r="I62" s="937"/>
      <c r="J62" s="605"/>
      <c r="K62" s="914"/>
      <c r="L62" s="937"/>
      <c r="M62" s="605"/>
      <c r="N62" s="880"/>
    </row>
    <row r="63" spans="1:14" s="266" customFormat="1" ht="12.75" hidden="1" thickBot="1">
      <c r="A63" s="1076"/>
      <c r="B63" s="880"/>
      <c r="C63" s="916"/>
      <c r="D63" s="881"/>
      <c r="E63" s="916"/>
      <c r="F63" s="922"/>
      <c r="G63" s="764"/>
      <c r="H63" s="741"/>
      <c r="I63" s="922"/>
      <c r="J63" s="605"/>
      <c r="K63" s="914"/>
      <c r="L63" s="922"/>
      <c r="M63" s="605"/>
      <c r="N63" s="880"/>
    </row>
    <row r="64" spans="1:14" s="266" customFormat="1" ht="18.75" customHeight="1" hidden="1">
      <c r="A64" s="1076"/>
      <c r="B64" s="937"/>
      <c r="C64" s="772"/>
      <c r="D64" s="965"/>
      <c r="E64" s="772"/>
      <c r="F64" s="937"/>
      <c r="G64" s="773"/>
      <c r="H64" s="774"/>
      <c r="I64" s="937"/>
      <c r="J64" s="605"/>
      <c r="K64" s="914"/>
      <c r="L64" s="937"/>
      <c r="M64" s="605"/>
      <c r="N64" s="880"/>
    </row>
    <row r="65" spans="1:14" s="266" customFormat="1" ht="12.75" hidden="1" thickBot="1">
      <c r="A65" s="1076"/>
      <c r="B65" s="880"/>
      <c r="C65" s="916"/>
      <c r="D65" s="881"/>
      <c r="E65" s="916"/>
      <c r="F65" s="922"/>
      <c r="G65" s="764"/>
      <c r="H65" s="741"/>
      <c r="I65" s="922"/>
      <c r="J65" s="605"/>
      <c r="K65" s="914"/>
      <c r="L65" s="922"/>
      <c r="M65" s="605"/>
      <c r="N65" s="880"/>
    </row>
    <row r="66" spans="1:14" s="266" customFormat="1" ht="12.75" hidden="1" thickBot="1">
      <c r="A66" s="1077"/>
      <c r="B66" s="937"/>
      <c r="C66" s="772"/>
      <c r="D66" s="965"/>
      <c r="E66" s="772"/>
      <c r="F66" s="937"/>
      <c r="G66" s="773"/>
      <c r="H66" s="774"/>
      <c r="I66" s="937"/>
      <c r="J66" s="771"/>
      <c r="K66" s="988"/>
      <c r="L66" s="937"/>
      <c r="M66" s="771"/>
      <c r="N66" s="937"/>
    </row>
    <row r="67" spans="1:14" s="266" customFormat="1" ht="12.75" hidden="1" thickBot="1">
      <c r="A67" s="1078"/>
      <c r="B67" s="880"/>
      <c r="C67" s="916"/>
      <c r="D67" s="881"/>
      <c r="E67" s="916"/>
      <c r="F67" s="922"/>
      <c r="G67" s="764"/>
      <c r="H67" s="741"/>
      <c r="I67" s="922"/>
      <c r="J67" s="678"/>
      <c r="K67" s="984"/>
      <c r="L67" s="922"/>
      <c r="M67" s="678"/>
      <c r="N67" s="922"/>
    </row>
    <row r="68" spans="1:14" s="266" customFormat="1" ht="12.75" hidden="1" thickBot="1">
      <c r="A68" s="1077"/>
      <c r="B68" s="937"/>
      <c r="C68" s="772"/>
      <c r="D68" s="965"/>
      <c r="E68" s="772"/>
      <c r="F68" s="937"/>
      <c r="G68" s="773"/>
      <c r="H68" s="774"/>
      <c r="I68" s="937"/>
      <c r="J68" s="605"/>
      <c r="K68" s="914"/>
      <c r="L68" s="937"/>
      <c r="M68" s="605"/>
      <c r="N68" s="880"/>
    </row>
    <row r="69" spans="1:14" s="266" customFormat="1" ht="12.75" hidden="1" thickBot="1">
      <c r="A69" s="1078"/>
      <c r="B69" s="922"/>
      <c r="C69" s="987"/>
      <c r="D69" s="912"/>
      <c r="E69" s="987"/>
      <c r="F69" s="922"/>
      <c r="G69" s="775"/>
      <c r="H69" s="776"/>
      <c r="I69" s="922"/>
      <c r="J69" s="605"/>
      <c r="K69" s="914"/>
      <c r="L69" s="922"/>
      <c r="M69" s="605"/>
      <c r="N69" s="880"/>
    </row>
    <row r="70" spans="1:14" s="266" customFormat="1" ht="12.75" hidden="1" thickBot="1">
      <c r="A70" s="1077"/>
      <c r="B70" s="880"/>
      <c r="C70" s="916"/>
      <c r="D70" s="965"/>
      <c r="E70" s="916"/>
      <c r="F70" s="937"/>
      <c r="G70" s="764"/>
      <c r="H70" s="741"/>
      <c r="I70" s="937"/>
      <c r="J70" s="771"/>
      <c r="K70" s="988"/>
      <c r="L70" s="937"/>
      <c r="M70" s="771"/>
      <c r="N70" s="937"/>
    </row>
    <row r="71" spans="1:14" s="266" customFormat="1" ht="12.75" hidden="1" thickBot="1">
      <c r="A71" s="1078"/>
      <c r="B71" s="880"/>
      <c r="C71" s="916"/>
      <c r="D71" s="881"/>
      <c r="E71" s="916"/>
      <c r="F71" s="922"/>
      <c r="G71" s="764"/>
      <c r="H71" s="741"/>
      <c r="I71" s="922"/>
      <c r="J71" s="678"/>
      <c r="K71" s="984"/>
      <c r="L71" s="922"/>
      <c r="M71" s="678"/>
      <c r="N71" s="922"/>
    </row>
    <row r="72" spans="1:14" s="266" customFormat="1" ht="12.75" hidden="1" thickBot="1">
      <c r="A72" s="1076"/>
      <c r="B72" s="937"/>
      <c r="C72" s="772"/>
      <c r="D72" s="965"/>
      <c r="E72" s="772"/>
      <c r="F72" s="937"/>
      <c r="G72" s="773"/>
      <c r="H72" s="774"/>
      <c r="I72" s="937"/>
      <c r="J72" s="605"/>
      <c r="K72" s="914"/>
      <c r="L72" s="937"/>
      <c r="M72" s="605"/>
      <c r="N72" s="880"/>
    </row>
    <row r="73" spans="1:14" s="266" customFormat="1" ht="12.75" hidden="1" thickBot="1">
      <c r="A73" s="1076"/>
      <c r="B73" s="922"/>
      <c r="C73" s="987"/>
      <c r="D73" s="912"/>
      <c r="E73" s="987"/>
      <c r="F73" s="922"/>
      <c r="G73" s="775"/>
      <c r="H73" s="776"/>
      <c r="I73" s="922"/>
      <c r="J73" s="605"/>
      <c r="K73" s="914"/>
      <c r="L73" s="922"/>
      <c r="M73" s="605"/>
      <c r="N73" s="880"/>
    </row>
    <row r="74" spans="1:14" s="266" customFormat="1" ht="12.75" hidden="1" thickBot="1">
      <c r="A74" s="1077"/>
      <c r="B74" s="880"/>
      <c r="C74" s="916"/>
      <c r="D74" s="965"/>
      <c r="E74" s="916"/>
      <c r="F74" s="937"/>
      <c r="G74" s="764"/>
      <c r="H74" s="741"/>
      <c r="I74" s="937"/>
      <c r="J74" s="771"/>
      <c r="K74" s="988"/>
      <c r="L74" s="937"/>
      <c r="M74" s="771"/>
      <c r="N74" s="937"/>
    </row>
    <row r="75" spans="1:14" s="266" customFormat="1" ht="12.75" hidden="1" thickBot="1">
      <c r="A75" s="1078"/>
      <c r="B75" s="880"/>
      <c r="C75" s="916"/>
      <c r="D75" s="881"/>
      <c r="E75" s="916"/>
      <c r="F75" s="922"/>
      <c r="G75" s="764"/>
      <c r="H75" s="741"/>
      <c r="I75" s="922"/>
      <c r="J75" s="678"/>
      <c r="K75" s="984"/>
      <c r="L75" s="922"/>
      <c r="M75" s="678"/>
      <c r="N75" s="922"/>
    </row>
    <row r="76" spans="1:14" s="266" customFormat="1" ht="12.75" hidden="1" thickBot="1">
      <c r="A76" s="1077"/>
      <c r="B76" s="937"/>
      <c r="C76" s="772"/>
      <c r="D76" s="965"/>
      <c r="E76" s="772"/>
      <c r="F76" s="937"/>
      <c r="G76" s="773"/>
      <c r="H76" s="774"/>
      <c r="I76" s="937"/>
      <c r="J76" s="605"/>
      <c r="K76" s="914"/>
      <c r="L76" s="937"/>
      <c r="M76" s="605"/>
      <c r="N76" s="880"/>
    </row>
    <row r="77" spans="1:14" s="266" customFormat="1" ht="12.75" hidden="1" thickBot="1">
      <c r="A77" s="1078"/>
      <c r="B77" s="922"/>
      <c r="C77" s="987"/>
      <c r="D77" s="912"/>
      <c r="E77" s="987"/>
      <c r="F77" s="922"/>
      <c r="G77" s="775"/>
      <c r="H77" s="776"/>
      <c r="I77" s="922"/>
      <c r="J77" s="605"/>
      <c r="K77" s="914"/>
      <c r="L77" s="922"/>
      <c r="M77" s="605"/>
      <c r="N77" s="880"/>
    </row>
    <row r="78" spans="1:14" s="266" customFormat="1" ht="12.75" hidden="1" thickBot="1">
      <c r="A78" s="1077"/>
      <c r="B78" s="937"/>
      <c r="C78" s="772"/>
      <c r="D78" s="965"/>
      <c r="E78" s="772"/>
      <c r="F78" s="937"/>
      <c r="G78" s="773"/>
      <c r="H78" s="774"/>
      <c r="I78" s="937"/>
      <c r="J78" s="771"/>
      <c r="K78" s="988"/>
      <c r="L78" s="937"/>
      <c r="M78" s="771"/>
      <c r="N78" s="937"/>
    </row>
    <row r="79" spans="1:14" s="266" customFormat="1" ht="12.75" hidden="1" thickBot="1">
      <c r="A79" s="1078"/>
      <c r="B79" s="922"/>
      <c r="C79" s="987"/>
      <c r="D79" s="912"/>
      <c r="E79" s="987"/>
      <c r="F79" s="922"/>
      <c r="G79" s="775"/>
      <c r="H79" s="776"/>
      <c r="I79" s="922"/>
      <c r="J79" s="678"/>
      <c r="K79" s="984"/>
      <c r="L79" s="922"/>
      <c r="M79" s="678"/>
      <c r="N79" s="922"/>
    </row>
    <row r="80" spans="1:14" s="266" customFormat="1" ht="12.75" hidden="1" thickBot="1">
      <c r="A80" s="1076"/>
      <c r="B80" s="880"/>
      <c r="C80" s="916"/>
      <c r="D80" s="965"/>
      <c r="E80" s="916"/>
      <c r="F80" s="937"/>
      <c r="G80" s="764"/>
      <c r="H80" s="741"/>
      <c r="I80" s="937"/>
      <c r="J80" s="605"/>
      <c r="K80" s="914"/>
      <c r="L80" s="937"/>
      <c r="M80" s="605"/>
      <c r="N80" s="880"/>
    </row>
    <row r="81" spans="1:14" s="266" customFormat="1" ht="12.75" hidden="1" thickBot="1">
      <c r="A81" s="1076"/>
      <c r="B81" s="880"/>
      <c r="C81" s="916"/>
      <c r="D81" s="881"/>
      <c r="E81" s="916"/>
      <c r="F81" s="922"/>
      <c r="G81" s="764"/>
      <c r="H81" s="741"/>
      <c r="I81" s="922"/>
      <c r="J81" s="605"/>
      <c r="K81" s="914"/>
      <c r="L81" s="922"/>
      <c r="M81" s="605"/>
      <c r="N81" s="880"/>
    </row>
    <row r="82" spans="1:14" s="266" customFormat="1" ht="12.75" hidden="1" thickBot="1">
      <c r="A82" s="1077"/>
      <c r="B82" s="937"/>
      <c r="C82" s="965"/>
      <c r="D82" s="965"/>
      <c r="E82" s="772"/>
      <c r="F82" s="937"/>
      <c r="G82" s="773"/>
      <c r="H82" s="774"/>
      <c r="I82" s="937"/>
      <c r="J82" s="771"/>
      <c r="K82" s="988"/>
      <c r="L82" s="937"/>
      <c r="M82" s="771"/>
      <c r="N82" s="937"/>
    </row>
    <row r="83" spans="1:14" s="266" customFormat="1" ht="12.75" hidden="1" thickBot="1">
      <c r="A83" s="1078"/>
      <c r="B83" s="922"/>
      <c r="C83" s="912"/>
      <c r="D83" s="912"/>
      <c r="E83" s="987"/>
      <c r="F83" s="922"/>
      <c r="G83" s="775"/>
      <c r="H83" s="776"/>
      <c r="I83" s="922"/>
      <c r="J83" s="678"/>
      <c r="K83" s="984"/>
      <c r="L83" s="922"/>
      <c r="M83" s="678"/>
      <c r="N83" s="922"/>
    </row>
    <row r="84" spans="1:14" s="266" customFormat="1" ht="13.5" customHeight="1" hidden="1">
      <c r="A84" s="1077"/>
      <c r="B84" s="937"/>
      <c r="C84" s="772"/>
      <c r="D84" s="965"/>
      <c r="E84" s="772"/>
      <c r="F84" s="937"/>
      <c r="G84" s="773"/>
      <c r="H84" s="774"/>
      <c r="I84" s="937"/>
      <c r="J84" s="771"/>
      <c r="K84" s="988"/>
      <c r="L84" s="937"/>
      <c r="M84" s="771"/>
      <c r="N84" s="937"/>
    </row>
    <row r="85" spans="1:14" s="266" customFormat="1" ht="13.5" customHeight="1" hidden="1">
      <c r="A85" s="1078"/>
      <c r="B85" s="922"/>
      <c r="C85" s="987"/>
      <c r="D85" s="912"/>
      <c r="E85" s="987"/>
      <c r="F85" s="922"/>
      <c r="G85" s="775"/>
      <c r="H85" s="776"/>
      <c r="I85" s="922"/>
      <c r="J85" s="678"/>
      <c r="K85" s="984"/>
      <c r="L85" s="922"/>
      <c r="M85" s="678"/>
      <c r="N85" s="922"/>
    </row>
    <row r="86" spans="1:14" s="266" customFormat="1" ht="13.5" customHeight="1" hidden="1">
      <c r="A86" s="1077"/>
      <c r="B86" s="880"/>
      <c r="C86" s="916"/>
      <c r="D86" s="965"/>
      <c r="E86" s="916"/>
      <c r="F86" s="937"/>
      <c r="G86" s="764"/>
      <c r="H86" s="741"/>
      <c r="I86" s="937"/>
      <c r="J86" s="605"/>
      <c r="K86" s="914"/>
      <c r="L86" s="937"/>
      <c r="M86" s="605"/>
      <c r="N86" s="880"/>
    </row>
    <row r="87" spans="1:14" s="266" customFormat="1" ht="13.5" customHeight="1" hidden="1">
      <c r="A87" s="1076"/>
      <c r="B87" s="880"/>
      <c r="C87" s="916"/>
      <c r="D87" s="881"/>
      <c r="E87" s="916"/>
      <c r="F87" s="880"/>
      <c r="G87" s="764"/>
      <c r="H87" s="741"/>
      <c r="I87" s="880"/>
      <c r="J87" s="605"/>
      <c r="K87" s="914"/>
      <c r="L87" s="880"/>
      <c r="M87" s="605"/>
      <c r="N87" s="880"/>
    </row>
    <row r="88" spans="1:14" s="272" customFormat="1" ht="12">
      <c r="A88" s="1074"/>
      <c r="B88" s="655"/>
      <c r="C88" s="1189" t="s">
        <v>229</v>
      </c>
      <c r="D88" s="890"/>
      <c r="E88" s="890"/>
      <c r="F88" s="888">
        <f>F8+F12+F14+F16+F18+F20+F22+F24+F26+F28+F30+F32+F54+F34+F36+F38+F40+F42+F44+F46+F48+F50+F52+F56</f>
        <v>245.0919999999999</v>
      </c>
      <c r="G88" s="888">
        <f>G8+G12+G14+G16+G18+G20+G22+G24+G26+G28+G30+G32+G54+G34+G36+G38+G40+G42+G44+G46+G48+G50+G52+G56</f>
        <v>125.55</v>
      </c>
      <c r="H88" s="888">
        <f>H8+H12+H14+H16+H18+H20+H22+H24+H26+H28+H30+H32+H54+H34+H36+H38+H40+H42+H44+H46+H48+H50+H52+H56</f>
        <v>119.542</v>
      </c>
      <c r="I88" s="656">
        <f aca="true" t="shared" si="4" ref="I88:N88">I8+I12+I14+I16+I18+I20+I22+I24+I26+I28+I30+I32+I54+I34+I36+I38+I40+I42+I44+I46+I48+I50+I52+I56+I58+I60+I62+I66+I68+I70+I72+I74+I76+I78+I80+I82+I84+I86</f>
        <v>5</v>
      </c>
      <c r="J88" s="656">
        <f t="shared" si="4"/>
        <v>5</v>
      </c>
      <c r="K88" s="696">
        <f t="shared" si="4"/>
        <v>0</v>
      </c>
      <c r="L88" s="656">
        <f t="shared" si="4"/>
        <v>245</v>
      </c>
      <c r="M88" s="656">
        <f t="shared" si="4"/>
        <v>95</v>
      </c>
      <c r="N88" s="656">
        <f t="shared" si="4"/>
        <v>150</v>
      </c>
    </row>
    <row r="89" spans="1:14" s="272" customFormat="1" ht="12.75" thickBot="1">
      <c r="A89" s="1075"/>
      <c r="B89" s="657"/>
      <c r="C89" s="1190"/>
      <c r="D89" s="891"/>
      <c r="E89" s="891"/>
      <c r="F89" s="889"/>
      <c r="G89" s="889"/>
      <c r="H89" s="889"/>
      <c r="I89" s="658">
        <f>I9+I13+I15+I17+I19+I21+I23+I25+I27+I29+I31+I33+I55+I35+I37+I39+I41+I43+I45+I47+I49+HZ51+I53+I57+I59+I61+I63+I67+I69+I71+I73+I75+I77+I79+I81+I83+I85+I87</f>
        <v>179.28000000000003</v>
      </c>
      <c r="J89" s="697">
        <f>J9+J13+J15+J17+J19+J21+J23+J25+J27+J29+J31+J33+J55+J35+J37+J39+J41+J43+J45+J47+J49+J51+J53+J57+J59+J61+J63+J67+J69+J71+J73+J75+J77+J79+J81+J83+J85+J87</f>
        <v>179.28000000000003</v>
      </c>
      <c r="K89" s="698">
        <f>K9+K13+K15+K17+K19+K21+K23+K25+K27+K29+K31+K33+K55+K35+K37+K39+K41+K43+K45+K47+K49+K51+K53+K57+K59+K61+K63+K67+K69+K71+K73+K75+K77+K79+K81+K83+K85+K87</f>
        <v>0</v>
      </c>
      <c r="L89" s="697">
        <f>L9+L13+L15+L17+L19+L21+L23+L25+L27+L29+L31+L33+L55+L35+L37+L39+L41+L43+L45+L47+L49+L51+L53+L57+L59+L61+L63+L67+L69+L71+L73+L75+L77+L79+L81+L83+L85+L87</f>
        <v>4680</v>
      </c>
      <c r="M89" s="697">
        <f>M9+M13+M15+M17+M19+M21+M23+M25+M27+M29+M31+M33+M55+M35+M37+M39+M41+M43+M45+M47+M49+M51+M53+M57+M59+M61+M63+M67+M69+M71+M73+M75+M77+M79+M81+M83+M85+M87</f>
        <v>1986</v>
      </c>
      <c r="N89" s="697">
        <f>N9+N13+N15+N17+N19+N21+N23+N25+N27+N29+N31+N33+N55+N35+N37+N39+N41+N43+N45+N47+N49+N51+N53+N57</f>
        <v>2694</v>
      </c>
    </row>
    <row r="90" spans="1:8" ht="12.75" hidden="1">
      <c r="A90" s="151"/>
      <c r="B90" s="153"/>
      <c r="C90" s="1150" t="s">
        <v>454</v>
      </c>
      <c r="D90" s="161" t="s">
        <v>450</v>
      </c>
      <c r="E90" s="162"/>
      <c r="F90" s="185">
        <f>SUMIF($D$8:$D$87,"=I",F8:F87)</f>
        <v>0</v>
      </c>
      <c r="G90" s="185">
        <f>SUMIF($D$8:$D$87,"=I",G8:G87)</f>
        <v>0</v>
      </c>
      <c r="H90" s="185">
        <f>SUMIF($D$8:$D$87,"=I",H8:H87)</f>
        <v>0</v>
      </c>
    </row>
    <row r="91" spans="1:8" ht="12.75" hidden="1">
      <c r="A91" s="151"/>
      <c r="B91" s="153"/>
      <c r="C91" s="1151"/>
      <c r="D91" s="69" t="s">
        <v>100</v>
      </c>
      <c r="E91" s="63"/>
      <c r="F91" s="101">
        <f>SUMIF($D$8:$D$87,"=II",F8:F87)</f>
        <v>0</v>
      </c>
      <c r="G91" s="101">
        <f>SUMIF($D$8:$D$87,"=II",G8:G87)</f>
        <v>0</v>
      </c>
      <c r="H91" s="101">
        <f>SUMIF($D$8:$D$87,"=II",H8:H87)</f>
        <v>0</v>
      </c>
    </row>
    <row r="92" spans="1:8" ht="12.75">
      <c r="A92" s="151"/>
      <c r="B92" s="153"/>
      <c r="C92" s="1151"/>
      <c r="D92" s="68" t="s">
        <v>102</v>
      </c>
      <c r="E92" s="63"/>
      <c r="F92" s="101">
        <f>SUMIF($D$8:$D$87,"=III",F8:F87)</f>
        <v>38</v>
      </c>
      <c r="G92" s="101">
        <f>SUMIF($D$8:$D$87,"=III",G8:G87)</f>
        <v>38</v>
      </c>
      <c r="H92" s="101">
        <f>SUMIF($D$8:$D$87,"=III",H8:H87)</f>
        <v>0</v>
      </c>
    </row>
    <row r="93" spans="1:8" ht="12.75">
      <c r="A93" s="151"/>
      <c r="B93" s="153"/>
      <c r="C93" s="1151"/>
      <c r="D93" s="70" t="s">
        <v>27</v>
      </c>
      <c r="E93" s="67"/>
      <c r="F93" s="101">
        <f>SUMIF($D$8:$D$87,"=IV",F8:F87)</f>
        <v>150.581</v>
      </c>
      <c r="G93" s="101">
        <f>SUMIF($D$8:$D$87,"=IV",G8:G87)</f>
        <v>82.94500000000001</v>
      </c>
      <c r="H93" s="101">
        <f>SUMIF($D$8:$D$87,"=IV",H8:H87)</f>
        <v>67.636</v>
      </c>
    </row>
    <row r="94" spans="1:8" ht="12.75">
      <c r="A94" s="152"/>
      <c r="B94" s="154"/>
      <c r="C94" s="1151"/>
      <c r="D94" s="70" t="s">
        <v>49</v>
      </c>
      <c r="E94" s="64"/>
      <c r="F94" s="101">
        <f>SUMIF($D$8:$D$87,"=V",F8:F87)</f>
        <v>56.510999999999996</v>
      </c>
      <c r="G94" s="101">
        <f>SUMIF($D$8:$D$87,"=V",G8:G87)</f>
        <v>4.6049999999999995</v>
      </c>
      <c r="H94" s="101">
        <f>SUMIF($D$8:$D$87,"=V",H8:H87)</f>
        <v>51.906</v>
      </c>
    </row>
    <row r="95" spans="1:8" ht="12.75">
      <c r="A95" s="31"/>
      <c r="C95" s="8"/>
      <c r="D95" s="8"/>
      <c r="E95" s="4"/>
      <c r="F95" s="52"/>
      <c r="G95" s="52"/>
      <c r="H95" s="52"/>
    </row>
    <row r="96" spans="3:5" ht="12.75">
      <c r="C96" s="6"/>
      <c r="D96" s="6"/>
      <c r="E96" s="4"/>
    </row>
    <row r="97" spans="3:5" ht="12.75">
      <c r="C97" s="8"/>
      <c r="D97" s="8"/>
      <c r="E97" s="4"/>
    </row>
    <row r="98" spans="3:5" ht="12.75">
      <c r="C98" s="7"/>
      <c r="D98" s="7"/>
      <c r="E98" s="5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</sheetData>
  <sheetProtection/>
  <mergeCells count="228">
    <mergeCell ref="A8:A11"/>
    <mergeCell ref="B8:B11"/>
    <mergeCell ref="F60:F61"/>
    <mergeCell ref="E56:E57"/>
    <mergeCell ref="C58:C59"/>
    <mergeCell ref="D58:D59"/>
    <mergeCell ref="D56:D57"/>
    <mergeCell ref="E58:E59"/>
    <mergeCell ref="D60:D61"/>
    <mergeCell ref="E60:E61"/>
    <mergeCell ref="F56:F57"/>
    <mergeCell ref="G60:G61"/>
    <mergeCell ref="G58:G59"/>
    <mergeCell ref="H58:H59"/>
    <mergeCell ref="H60:H61"/>
    <mergeCell ref="F58:F59"/>
    <mergeCell ref="H44:H45"/>
    <mergeCell ref="G44:G45"/>
    <mergeCell ref="F44:F45"/>
    <mergeCell ref="H48:H49"/>
    <mergeCell ref="G52:G53"/>
    <mergeCell ref="H28:H29"/>
    <mergeCell ref="G32:G33"/>
    <mergeCell ref="H54:H55"/>
    <mergeCell ref="H30:H31"/>
    <mergeCell ref="G54:G55"/>
    <mergeCell ref="G28:G29"/>
    <mergeCell ref="H32:H33"/>
    <mergeCell ref="H38:H39"/>
    <mergeCell ref="G36:G37"/>
    <mergeCell ref="G8:G9"/>
    <mergeCell ref="G16:G17"/>
    <mergeCell ref="G18:G19"/>
    <mergeCell ref="G20:G21"/>
    <mergeCell ref="H12:H13"/>
    <mergeCell ref="G14:G15"/>
    <mergeCell ref="H14:H15"/>
    <mergeCell ref="G12:G13"/>
    <mergeCell ref="H18:H19"/>
    <mergeCell ref="H16:H17"/>
    <mergeCell ref="H24:H25"/>
    <mergeCell ref="H26:H27"/>
    <mergeCell ref="G24:G25"/>
    <mergeCell ref="G26:G27"/>
    <mergeCell ref="H20:H21"/>
    <mergeCell ref="H22:H23"/>
    <mergeCell ref="H6:H7"/>
    <mergeCell ref="M6:N6"/>
    <mergeCell ref="L5:N5"/>
    <mergeCell ref="H8:H9"/>
    <mergeCell ref="G5:H5"/>
    <mergeCell ref="G6:G7"/>
    <mergeCell ref="E46:E47"/>
    <mergeCell ref="H42:H43"/>
    <mergeCell ref="G48:G49"/>
    <mergeCell ref="F46:F47"/>
    <mergeCell ref="G42:G43"/>
    <mergeCell ref="E48:E49"/>
    <mergeCell ref="F48:F49"/>
    <mergeCell ref="E44:E45"/>
    <mergeCell ref="G46:G47"/>
    <mergeCell ref="H46:H47"/>
    <mergeCell ref="G40:G41"/>
    <mergeCell ref="H40:H41"/>
    <mergeCell ref="G34:G35"/>
    <mergeCell ref="G38:G39"/>
    <mergeCell ref="G30:G31"/>
    <mergeCell ref="H34:H35"/>
    <mergeCell ref="G56:G57"/>
    <mergeCell ref="H56:H57"/>
    <mergeCell ref="H50:H51"/>
    <mergeCell ref="H52:H53"/>
    <mergeCell ref="G50:G51"/>
    <mergeCell ref="E50:E51"/>
    <mergeCell ref="F50:F51"/>
    <mergeCell ref="F52:F53"/>
    <mergeCell ref="E54:E55"/>
    <mergeCell ref="E40:E41"/>
    <mergeCell ref="F40:F41"/>
    <mergeCell ref="E52:E53"/>
    <mergeCell ref="A60:A61"/>
    <mergeCell ref="B60:B61"/>
    <mergeCell ref="C60:C61"/>
    <mergeCell ref="C56:C57"/>
    <mergeCell ref="B58:B59"/>
    <mergeCell ref="A56:A57"/>
    <mergeCell ref="B56:B57"/>
    <mergeCell ref="A58:A59"/>
    <mergeCell ref="A50:A51"/>
    <mergeCell ref="B50:B51"/>
    <mergeCell ref="C50:C51"/>
    <mergeCell ref="C52:C53"/>
    <mergeCell ref="B52:B53"/>
    <mergeCell ref="A52:A53"/>
    <mergeCell ref="D46:D47"/>
    <mergeCell ref="D48:D49"/>
    <mergeCell ref="C48:C49"/>
    <mergeCell ref="A46:A47"/>
    <mergeCell ref="C46:C47"/>
    <mergeCell ref="B46:B47"/>
    <mergeCell ref="C44:C45"/>
    <mergeCell ref="C42:C43"/>
    <mergeCell ref="A44:A45"/>
    <mergeCell ref="B44:B45"/>
    <mergeCell ref="A48:A49"/>
    <mergeCell ref="B48:B49"/>
    <mergeCell ref="A32:A33"/>
    <mergeCell ref="B32:B33"/>
    <mergeCell ref="E42:E43"/>
    <mergeCell ref="F42:F43"/>
    <mergeCell ref="D42:D43"/>
    <mergeCell ref="C38:C39"/>
    <mergeCell ref="E38:E39"/>
    <mergeCell ref="A38:A39"/>
    <mergeCell ref="D38:D39"/>
    <mergeCell ref="B38:B39"/>
    <mergeCell ref="F38:F39"/>
    <mergeCell ref="H36:H37"/>
    <mergeCell ref="D18:D19"/>
    <mergeCell ref="E36:E37"/>
    <mergeCell ref="E22:E23"/>
    <mergeCell ref="E24:E25"/>
    <mergeCell ref="F18:F19"/>
    <mergeCell ref="G22:G23"/>
    <mergeCell ref="E18:E19"/>
    <mergeCell ref="E32:E33"/>
    <mergeCell ref="F24:F25"/>
    <mergeCell ref="F22:F23"/>
    <mergeCell ref="E20:E21"/>
    <mergeCell ref="D24:D25"/>
    <mergeCell ref="D20:D21"/>
    <mergeCell ref="F20:F21"/>
    <mergeCell ref="D22:D23"/>
    <mergeCell ref="A24:A25"/>
    <mergeCell ref="B24:B25"/>
    <mergeCell ref="C22:C23"/>
    <mergeCell ref="A22:A23"/>
    <mergeCell ref="B22:B23"/>
    <mergeCell ref="C24:C25"/>
    <mergeCell ref="C18:C19"/>
    <mergeCell ref="B20:B21"/>
    <mergeCell ref="A18:A19"/>
    <mergeCell ref="A20:A21"/>
    <mergeCell ref="B18:B19"/>
    <mergeCell ref="C20:C21"/>
    <mergeCell ref="A1:N1"/>
    <mergeCell ref="A2:N2"/>
    <mergeCell ref="A3:N3"/>
    <mergeCell ref="J6:K6"/>
    <mergeCell ref="I5:K5"/>
    <mergeCell ref="A5:A7"/>
    <mergeCell ref="L6:L7"/>
    <mergeCell ref="I6:I7"/>
    <mergeCell ref="E5:E7"/>
    <mergeCell ref="F5:F7"/>
    <mergeCell ref="D16:D17"/>
    <mergeCell ref="A12:A13"/>
    <mergeCell ref="C16:C17"/>
    <mergeCell ref="A14:A15"/>
    <mergeCell ref="B16:B17"/>
    <mergeCell ref="A16:A17"/>
    <mergeCell ref="B12:B13"/>
    <mergeCell ref="B14:B15"/>
    <mergeCell ref="D12:D13"/>
    <mergeCell ref="B5:B7"/>
    <mergeCell ref="C5:C7"/>
    <mergeCell ref="D5:D7"/>
    <mergeCell ref="F8:F9"/>
    <mergeCell ref="C8:C9"/>
    <mergeCell ref="E8:E9"/>
    <mergeCell ref="D8:D9"/>
    <mergeCell ref="F14:F15"/>
    <mergeCell ref="D14:D15"/>
    <mergeCell ref="C14:C15"/>
    <mergeCell ref="F12:F13"/>
    <mergeCell ref="C12:C13"/>
    <mergeCell ref="E12:E13"/>
    <mergeCell ref="E14:E15"/>
    <mergeCell ref="F16:F17"/>
    <mergeCell ref="D28:D29"/>
    <mergeCell ref="D30:D31"/>
    <mergeCell ref="E26:E27"/>
    <mergeCell ref="F26:F27"/>
    <mergeCell ref="E28:E29"/>
    <mergeCell ref="F28:F29"/>
    <mergeCell ref="E30:E31"/>
    <mergeCell ref="F30:F31"/>
    <mergeCell ref="E16:E17"/>
    <mergeCell ref="A26:A27"/>
    <mergeCell ref="B26:B27"/>
    <mergeCell ref="D26:D27"/>
    <mergeCell ref="C30:C31"/>
    <mergeCell ref="C26:C27"/>
    <mergeCell ref="A28:A29"/>
    <mergeCell ref="B28:B29"/>
    <mergeCell ref="A30:A31"/>
    <mergeCell ref="B30:B31"/>
    <mergeCell ref="C28:C29"/>
    <mergeCell ref="C90:C94"/>
    <mergeCell ref="C40:C41"/>
    <mergeCell ref="D40:D41"/>
    <mergeCell ref="C32:C33"/>
    <mergeCell ref="D44:D45"/>
    <mergeCell ref="D50:D51"/>
    <mergeCell ref="D52:D53"/>
    <mergeCell ref="C88:C89"/>
    <mergeCell ref="D34:D35"/>
    <mergeCell ref="C34:C35"/>
    <mergeCell ref="F32:F33"/>
    <mergeCell ref="F54:F55"/>
    <mergeCell ref="C54:C55"/>
    <mergeCell ref="C36:C37"/>
    <mergeCell ref="D36:D37"/>
    <mergeCell ref="E34:E35"/>
    <mergeCell ref="F34:F35"/>
    <mergeCell ref="D54:D55"/>
    <mergeCell ref="D32:D33"/>
    <mergeCell ref="F36:F37"/>
    <mergeCell ref="A40:A41"/>
    <mergeCell ref="B40:B41"/>
    <mergeCell ref="A34:A35"/>
    <mergeCell ref="B34:B35"/>
    <mergeCell ref="A54:A55"/>
    <mergeCell ref="B54:B55"/>
    <mergeCell ref="A36:A37"/>
    <mergeCell ref="B36:B37"/>
    <mergeCell ref="A42:A43"/>
    <mergeCell ref="B42:B43"/>
  </mergeCells>
  <printOptions/>
  <pageMargins left="0.6299212598425197" right="0.4330708661417323" top="0.8267716535433072" bottom="0.5905511811023623" header="0.5118110236220472" footer="0.3937007874015748"/>
  <pageSetup firstPageNumber="40" useFirstPageNumber="1" fitToHeight="0" fitToWidth="1" orientation="landscape" paperSize="9" scale="98" r:id="rId1"/>
  <headerFooter alignWithMargins="0">
    <oddFooter>&amp;CСтраница &amp;P</oddFooter>
  </headerFooter>
  <rowBreaks count="1" manualBreakCount="1">
    <brk id="4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10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R16384"/>
    </sheetView>
  </sheetViews>
  <sheetFormatPr defaultColWidth="9.00390625" defaultRowHeight="12.75"/>
  <cols>
    <col min="1" max="1" width="4.25390625" style="0" customWidth="1"/>
    <col min="2" max="2" width="12.25390625" style="53" customWidth="1"/>
    <col min="3" max="3" width="32.125" style="0" customWidth="1"/>
    <col min="4" max="4" width="10.625" style="0" customWidth="1"/>
    <col min="5" max="5" width="11.25390625" style="0" customWidth="1"/>
    <col min="6" max="6" width="9.625" style="0" customWidth="1"/>
    <col min="7" max="7" width="7.875" style="0" customWidth="1"/>
    <col min="8" max="8" width="9.25390625" style="0" customWidth="1"/>
    <col min="9" max="9" width="7.375" style="0" bestFit="1" customWidth="1"/>
    <col min="10" max="10" width="7.00390625" style="0" customWidth="1"/>
    <col min="11" max="11" width="8.00390625" style="0" bestFit="1" customWidth="1"/>
    <col min="12" max="12" width="7.00390625" style="0" customWidth="1"/>
    <col min="13" max="13" width="6.75390625" style="0" customWidth="1"/>
    <col min="14" max="14" width="8.125" style="0" customWidth="1"/>
  </cols>
  <sheetData>
    <row r="1" spans="1:14" s="19" customFormat="1" ht="12.75">
      <c r="A1" s="1289" t="s">
        <v>3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</row>
    <row r="2" spans="1:14" s="19" customFormat="1" ht="29.25" customHeight="1">
      <c r="A2" s="1290" t="s">
        <v>1410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</row>
    <row r="3" ht="10.5" customHeight="1" thickBot="1"/>
    <row r="4" spans="1:14" s="266" customFormat="1" ht="12.75" customHeight="1" thickBot="1">
      <c r="A4" s="1299" t="s">
        <v>9</v>
      </c>
      <c r="B4" s="1281" t="s">
        <v>735</v>
      </c>
      <c r="C4" s="1278" t="s">
        <v>455</v>
      </c>
      <c r="D4" s="1281" t="s">
        <v>231</v>
      </c>
      <c r="E4" s="1292" t="s">
        <v>622</v>
      </c>
      <c r="F4" s="1281" t="s">
        <v>623</v>
      </c>
      <c r="G4" s="1278" t="s">
        <v>4</v>
      </c>
      <c r="H4" s="1278"/>
      <c r="I4" s="1299" t="s">
        <v>458</v>
      </c>
      <c r="J4" s="1278"/>
      <c r="K4" s="1175"/>
      <c r="L4" s="1318" t="s">
        <v>19</v>
      </c>
      <c r="M4" s="1241"/>
      <c r="N4" s="1319"/>
    </row>
    <row r="5" spans="1:14" s="266" customFormat="1" ht="13.5" customHeight="1" thickBot="1">
      <c r="A5" s="1316"/>
      <c r="B5" s="1295"/>
      <c r="C5" s="1300"/>
      <c r="D5" s="1282"/>
      <c r="E5" s="1293"/>
      <c r="F5" s="1295"/>
      <c r="G5" s="1281" t="s">
        <v>456</v>
      </c>
      <c r="H5" s="1286" t="s">
        <v>457</v>
      </c>
      <c r="I5" s="1297" t="s">
        <v>5</v>
      </c>
      <c r="J5" s="1279" t="s">
        <v>4</v>
      </c>
      <c r="K5" s="1280"/>
      <c r="L5" s="1297" t="s">
        <v>5</v>
      </c>
      <c r="M5" s="1239" t="s">
        <v>4</v>
      </c>
      <c r="N5" s="1319"/>
    </row>
    <row r="6" spans="1:14" s="266" customFormat="1" ht="18" customHeight="1" thickBot="1">
      <c r="A6" s="1317"/>
      <c r="B6" s="1296"/>
      <c r="C6" s="1301"/>
      <c r="D6" s="1283"/>
      <c r="E6" s="1294"/>
      <c r="F6" s="1296"/>
      <c r="G6" s="1283"/>
      <c r="H6" s="1287"/>
      <c r="I6" s="1298"/>
      <c r="J6" s="442" t="s">
        <v>6</v>
      </c>
      <c r="K6" s="443" t="s">
        <v>7</v>
      </c>
      <c r="L6" s="1298"/>
      <c r="M6" s="443" t="s">
        <v>6</v>
      </c>
      <c r="N6" s="443" t="s">
        <v>7</v>
      </c>
    </row>
    <row r="7" spans="1:14" s="266" customFormat="1" ht="12">
      <c r="A7" s="1239">
        <v>1</v>
      </c>
      <c r="B7" s="1241" t="s">
        <v>741</v>
      </c>
      <c r="C7" s="1243" t="s">
        <v>532</v>
      </c>
      <c r="D7" s="1259" t="s">
        <v>625</v>
      </c>
      <c r="E7" s="1257" t="s">
        <v>581</v>
      </c>
      <c r="F7" s="1247">
        <f>G7+H7</f>
        <v>7.9239999999999995</v>
      </c>
      <c r="G7" s="1247">
        <f>G9+G10</f>
        <v>4.215999999999999</v>
      </c>
      <c r="H7" s="1247">
        <f>H9+H10</f>
        <v>3.7079999999999997</v>
      </c>
      <c r="I7" s="612">
        <f>J7+K7</f>
        <v>1</v>
      </c>
      <c r="J7" s="612">
        <v>1</v>
      </c>
      <c r="K7" s="623">
        <v>0</v>
      </c>
      <c r="L7" s="612">
        <f>M7+N7</f>
        <v>6</v>
      </c>
      <c r="M7" s="620">
        <v>4</v>
      </c>
      <c r="N7" s="612">
        <v>2</v>
      </c>
    </row>
    <row r="8" spans="1:14" s="266" customFormat="1" ht="12" customHeight="1">
      <c r="A8" s="1307"/>
      <c r="B8" s="1308"/>
      <c r="C8" s="1315"/>
      <c r="D8" s="1262"/>
      <c r="E8" s="1258"/>
      <c r="F8" s="1256"/>
      <c r="G8" s="1256"/>
      <c r="H8" s="1256"/>
      <c r="I8" s="627">
        <f>J8+K8</f>
        <v>17.46</v>
      </c>
      <c r="J8" s="626">
        <v>17.46</v>
      </c>
      <c r="K8" s="631">
        <v>0</v>
      </c>
      <c r="L8" s="626">
        <f>M8+N8</f>
        <v>75</v>
      </c>
      <c r="M8" s="635">
        <v>51</v>
      </c>
      <c r="N8" s="626">
        <v>24</v>
      </c>
    </row>
    <row r="9" spans="1:14" s="266" customFormat="1" ht="12">
      <c r="A9" s="1307"/>
      <c r="B9" s="1308"/>
      <c r="C9" s="1315"/>
      <c r="D9" s="437" t="s">
        <v>27</v>
      </c>
      <c r="E9" s="632" t="s">
        <v>676</v>
      </c>
      <c r="F9" s="633">
        <f>G9+H9</f>
        <v>6.6579999999999995</v>
      </c>
      <c r="G9" s="633">
        <v>4.116</v>
      </c>
      <c r="H9" s="633">
        <v>2.542</v>
      </c>
      <c r="I9" s="630"/>
      <c r="J9" s="629"/>
      <c r="K9" s="618"/>
      <c r="L9" s="630"/>
      <c r="M9" s="625"/>
      <c r="N9" s="630"/>
    </row>
    <row r="10" spans="1:14" s="266" customFormat="1" ht="12.75" thickBot="1">
      <c r="A10" s="1240"/>
      <c r="B10" s="1242"/>
      <c r="C10" s="1244"/>
      <c r="D10" s="619" t="s">
        <v>49</v>
      </c>
      <c r="E10" s="614" t="s">
        <v>677</v>
      </c>
      <c r="F10" s="616">
        <f>G10+H10</f>
        <v>1.266</v>
      </c>
      <c r="G10" s="615">
        <v>0.1</v>
      </c>
      <c r="H10" s="616">
        <v>1.166</v>
      </c>
      <c r="I10" s="613"/>
      <c r="J10" s="628"/>
      <c r="K10" s="624"/>
      <c r="L10" s="613"/>
      <c r="M10" s="621"/>
      <c r="N10" s="613"/>
    </row>
    <row r="11" spans="1:14" s="266" customFormat="1" ht="12">
      <c r="A11" s="1239">
        <v>2</v>
      </c>
      <c r="B11" s="1241" t="s">
        <v>751</v>
      </c>
      <c r="C11" s="1243" t="s">
        <v>534</v>
      </c>
      <c r="D11" s="1259" t="s">
        <v>27</v>
      </c>
      <c r="E11" s="1257" t="s">
        <v>582</v>
      </c>
      <c r="F11" s="1247">
        <f>G11+H11</f>
        <v>4.255</v>
      </c>
      <c r="G11" s="1249">
        <v>0</v>
      </c>
      <c r="H11" s="1247">
        <v>4.255</v>
      </c>
      <c r="I11" s="612">
        <f aca="true" t="shared" si="0" ref="I11:I58">J11+K11</f>
        <v>0</v>
      </c>
      <c r="J11" s="622">
        <v>0</v>
      </c>
      <c r="K11" s="623">
        <v>0</v>
      </c>
      <c r="L11" s="612">
        <f aca="true" t="shared" si="1" ref="L11:L22">M11+N11</f>
        <v>6</v>
      </c>
      <c r="M11" s="620">
        <v>0</v>
      </c>
      <c r="N11" s="612">
        <v>6</v>
      </c>
    </row>
    <row r="12" spans="1:14" s="266" customFormat="1" ht="12.75" thickBot="1">
      <c r="A12" s="1240"/>
      <c r="B12" s="1242"/>
      <c r="C12" s="1244"/>
      <c r="D12" s="1260"/>
      <c r="E12" s="1261"/>
      <c r="F12" s="1248"/>
      <c r="G12" s="1250"/>
      <c r="H12" s="1248"/>
      <c r="I12" s="613">
        <f t="shared" si="0"/>
        <v>0</v>
      </c>
      <c r="J12" s="628">
        <v>0</v>
      </c>
      <c r="K12" s="624">
        <v>0</v>
      </c>
      <c r="L12" s="613">
        <f t="shared" si="1"/>
        <v>56</v>
      </c>
      <c r="M12" s="621">
        <v>0</v>
      </c>
      <c r="N12" s="613">
        <v>56</v>
      </c>
    </row>
    <row r="13" spans="1:14" s="266" customFormat="1" ht="12">
      <c r="A13" s="1239">
        <v>3</v>
      </c>
      <c r="B13" s="1241" t="s">
        <v>756</v>
      </c>
      <c r="C13" s="1243" t="s">
        <v>535</v>
      </c>
      <c r="D13" s="1259" t="s">
        <v>27</v>
      </c>
      <c r="E13" s="1257" t="s">
        <v>552</v>
      </c>
      <c r="F13" s="1249">
        <f>G13+H13</f>
        <v>1.66</v>
      </c>
      <c r="G13" s="1249">
        <v>1.66</v>
      </c>
      <c r="H13" s="1249">
        <v>0</v>
      </c>
      <c r="I13" s="612">
        <f t="shared" si="0"/>
        <v>0</v>
      </c>
      <c r="J13" s="622">
        <v>0</v>
      </c>
      <c r="K13" s="623">
        <v>0</v>
      </c>
      <c r="L13" s="612">
        <f t="shared" si="1"/>
        <v>2</v>
      </c>
      <c r="M13" s="620">
        <v>2</v>
      </c>
      <c r="N13" s="612">
        <v>0</v>
      </c>
    </row>
    <row r="14" spans="1:14" s="266" customFormat="1" ht="12.75" thickBot="1">
      <c r="A14" s="1240"/>
      <c r="B14" s="1242"/>
      <c r="C14" s="1244"/>
      <c r="D14" s="1260"/>
      <c r="E14" s="1261"/>
      <c r="F14" s="1250"/>
      <c r="G14" s="1250"/>
      <c r="H14" s="1250"/>
      <c r="I14" s="613">
        <f t="shared" si="0"/>
        <v>0</v>
      </c>
      <c r="J14" s="628">
        <v>0</v>
      </c>
      <c r="K14" s="624">
        <v>0</v>
      </c>
      <c r="L14" s="613">
        <f t="shared" si="1"/>
        <v>38</v>
      </c>
      <c r="M14" s="621">
        <v>38</v>
      </c>
      <c r="N14" s="613">
        <v>0</v>
      </c>
    </row>
    <row r="15" spans="1:14" s="266" customFormat="1" ht="12">
      <c r="A15" s="1239">
        <v>4</v>
      </c>
      <c r="B15" s="1241" t="s">
        <v>757</v>
      </c>
      <c r="C15" s="1243" t="s">
        <v>418</v>
      </c>
      <c r="D15" s="1245" t="s">
        <v>102</v>
      </c>
      <c r="E15" s="1245" t="s">
        <v>1242</v>
      </c>
      <c r="F15" s="1241">
        <f>G15+H15</f>
        <v>5.136</v>
      </c>
      <c r="G15" s="1247">
        <v>5.136</v>
      </c>
      <c r="H15" s="1249">
        <v>0</v>
      </c>
      <c r="I15" s="263">
        <f t="shared" si="0"/>
        <v>0</v>
      </c>
      <c r="J15" s="264">
        <v>0</v>
      </c>
      <c r="K15" s="325">
        <v>0</v>
      </c>
      <c r="L15" s="263">
        <f t="shared" si="1"/>
        <v>6</v>
      </c>
      <c r="M15" s="264">
        <v>0</v>
      </c>
      <c r="N15" s="263">
        <v>6</v>
      </c>
    </row>
    <row r="16" spans="1:14" s="266" customFormat="1" ht="12.75" thickBot="1">
      <c r="A16" s="1240"/>
      <c r="B16" s="1242"/>
      <c r="C16" s="1244"/>
      <c r="D16" s="1246"/>
      <c r="E16" s="1246"/>
      <c r="F16" s="1242"/>
      <c r="G16" s="1248"/>
      <c r="H16" s="1250"/>
      <c r="I16" s="613">
        <f t="shared" si="0"/>
        <v>0</v>
      </c>
      <c r="J16" s="628">
        <v>0</v>
      </c>
      <c r="K16" s="624">
        <v>0</v>
      </c>
      <c r="L16" s="613">
        <f t="shared" si="1"/>
        <v>83</v>
      </c>
      <c r="M16" s="628">
        <v>0</v>
      </c>
      <c r="N16" s="613">
        <v>83</v>
      </c>
    </row>
    <row r="17" spans="1:14" s="266" customFormat="1" ht="12">
      <c r="A17" s="1239">
        <v>5</v>
      </c>
      <c r="B17" s="1241" t="s">
        <v>758</v>
      </c>
      <c r="C17" s="1243" t="s">
        <v>70</v>
      </c>
      <c r="D17" s="1245" t="s">
        <v>49</v>
      </c>
      <c r="E17" s="1257" t="s">
        <v>531</v>
      </c>
      <c r="F17" s="1241">
        <f>G17+H17</f>
        <v>0.415</v>
      </c>
      <c r="G17" s="1274">
        <v>0.415</v>
      </c>
      <c r="H17" s="1249">
        <v>0</v>
      </c>
      <c r="I17" s="263">
        <f t="shared" si="0"/>
        <v>0</v>
      </c>
      <c r="J17" s="264">
        <v>0</v>
      </c>
      <c r="K17" s="325">
        <v>0</v>
      </c>
      <c r="L17" s="263">
        <f t="shared" si="1"/>
        <v>1</v>
      </c>
      <c r="M17" s="264">
        <v>0</v>
      </c>
      <c r="N17" s="263">
        <v>1</v>
      </c>
    </row>
    <row r="18" spans="1:14" s="266" customFormat="1" ht="12.75" thickBot="1">
      <c r="A18" s="1240"/>
      <c r="B18" s="1242"/>
      <c r="C18" s="1244"/>
      <c r="D18" s="1246"/>
      <c r="E18" s="1261"/>
      <c r="F18" s="1242"/>
      <c r="G18" s="1275"/>
      <c r="H18" s="1250"/>
      <c r="I18" s="613">
        <f t="shared" si="0"/>
        <v>0</v>
      </c>
      <c r="J18" s="628">
        <v>0</v>
      </c>
      <c r="K18" s="624">
        <v>0</v>
      </c>
      <c r="L18" s="613">
        <f t="shared" si="1"/>
        <v>20</v>
      </c>
      <c r="M18" s="628">
        <v>0</v>
      </c>
      <c r="N18" s="613">
        <v>20</v>
      </c>
    </row>
    <row r="19" spans="1:14" s="266" customFormat="1" ht="12">
      <c r="A19" s="1239">
        <v>6</v>
      </c>
      <c r="B19" s="1241" t="s">
        <v>759</v>
      </c>
      <c r="C19" s="1243" t="s">
        <v>536</v>
      </c>
      <c r="D19" s="1259" t="s">
        <v>27</v>
      </c>
      <c r="E19" s="1257" t="s">
        <v>12</v>
      </c>
      <c r="F19" s="1249">
        <f>G19+H19</f>
        <v>2.2</v>
      </c>
      <c r="G19" s="1249">
        <v>2.2</v>
      </c>
      <c r="H19" s="1249">
        <v>0</v>
      </c>
      <c r="I19" s="612">
        <f t="shared" si="0"/>
        <v>1</v>
      </c>
      <c r="J19" s="622">
        <v>1</v>
      </c>
      <c r="K19" s="623">
        <v>0</v>
      </c>
      <c r="L19" s="612">
        <f t="shared" si="1"/>
        <v>2</v>
      </c>
      <c r="M19" s="620">
        <v>2</v>
      </c>
      <c r="N19" s="612">
        <v>0</v>
      </c>
    </row>
    <row r="20" spans="1:14" s="266" customFormat="1" ht="12.75" thickBot="1">
      <c r="A20" s="1240"/>
      <c r="B20" s="1242"/>
      <c r="C20" s="1244"/>
      <c r="D20" s="1260"/>
      <c r="E20" s="1261"/>
      <c r="F20" s="1250"/>
      <c r="G20" s="1250"/>
      <c r="H20" s="1250"/>
      <c r="I20" s="615">
        <f t="shared" si="0"/>
        <v>45.6</v>
      </c>
      <c r="J20" s="326">
        <v>45.6</v>
      </c>
      <c r="K20" s="624">
        <v>0</v>
      </c>
      <c r="L20" s="613">
        <f t="shared" si="1"/>
        <v>44</v>
      </c>
      <c r="M20" s="621">
        <v>44</v>
      </c>
      <c r="N20" s="613">
        <v>0</v>
      </c>
    </row>
    <row r="21" spans="1:14" s="266" customFormat="1" ht="12">
      <c r="A21" s="1239">
        <v>7</v>
      </c>
      <c r="B21" s="1241" t="s">
        <v>760</v>
      </c>
      <c r="C21" s="1243" t="s">
        <v>533</v>
      </c>
      <c r="D21" s="1245" t="s">
        <v>102</v>
      </c>
      <c r="E21" s="1257" t="s">
        <v>43</v>
      </c>
      <c r="F21" s="1249">
        <f>G21+H21</f>
        <v>3</v>
      </c>
      <c r="G21" s="1249">
        <v>3</v>
      </c>
      <c r="H21" s="1249">
        <v>0</v>
      </c>
      <c r="I21" s="612">
        <f t="shared" si="0"/>
        <v>1</v>
      </c>
      <c r="J21" s="622">
        <v>1</v>
      </c>
      <c r="K21" s="623">
        <v>0</v>
      </c>
      <c r="L21" s="612">
        <f t="shared" si="1"/>
        <v>1</v>
      </c>
      <c r="M21" s="620">
        <v>1</v>
      </c>
      <c r="N21" s="612">
        <v>0</v>
      </c>
    </row>
    <row r="22" spans="1:14" s="266" customFormat="1" ht="12.75" thickBot="1">
      <c r="A22" s="1240"/>
      <c r="B22" s="1242"/>
      <c r="C22" s="1244"/>
      <c r="D22" s="1246"/>
      <c r="E22" s="1261"/>
      <c r="F22" s="1250"/>
      <c r="G22" s="1250"/>
      <c r="H22" s="1250"/>
      <c r="I22" s="615">
        <f t="shared" si="0"/>
        <v>40</v>
      </c>
      <c r="J22" s="326">
        <v>40</v>
      </c>
      <c r="K22" s="624">
        <v>0</v>
      </c>
      <c r="L22" s="613">
        <f t="shared" si="1"/>
        <v>25</v>
      </c>
      <c r="M22" s="621">
        <v>25</v>
      </c>
      <c r="N22" s="613">
        <v>0</v>
      </c>
    </row>
    <row r="23" spans="1:14" s="266" customFormat="1" ht="12">
      <c r="A23" s="1269">
        <v>8</v>
      </c>
      <c r="B23" s="1306" t="s">
        <v>761</v>
      </c>
      <c r="C23" s="1304" t="s">
        <v>55</v>
      </c>
      <c r="D23" s="1321" t="s">
        <v>102</v>
      </c>
      <c r="E23" s="1263" t="s">
        <v>701</v>
      </c>
      <c r="F23" s="1288">
        <f>G23+H23</f>
        <v>32.105</v>
      </c>
      <c r="G23" s="1288">
        <v>32.105</v>
      </c>
      <c r="H23" s="1276">
        <v>0</v>
      </c>
      <c r="I23" s="660">
        <f t="shared" si="0"/>
        <v>1</v>
      </c>
      <c r="J23" s="661">
        <v>1</v>
      </c>
      <c r="K23" s="662">
        <v>0</v>
      </c>
      <c r="L23" s="660">
        <f aca="true" t="shared" si="2" ref="L23:L62">M23+N23</f>
        <v>25</v>
      </c>
      <c r="M23" s="661">
        <v>18</v>
      </c>
      <c r="N23" s="660">
        <v>7</v>
      </c>
    </row>
    <row r="24" spans="1:14" s="266" customFormat="1" ht="24" customHeight="1" thickBot="1">
      <c r="A24" s="1271"/>
      <c r="B24" s="1253"/>
      <c r="C24" s="1305"/>
      <c r="D24" s="1322"/>
      <c r="E24" s="1264"/>
      <c r="F24" s="1255"/>
      <c r="G24" s="1255"/>
      <c r="H24" s="1325"/>
      <c r="I24" s="634">
        <f t="shared" si="0"/>
        <v>60.2</v>
      </c>
      <c r="J24" s="663">
        <v>60.2</v>
      </c>
      <c r="K24" s="276">
        <v>0</v>
      </c>
      <c r="L24" s="617">
        <f t="shared" si="2"/>
        <v>354</v>
      </c>
      <c r="M24" s="636">
        <v>266</v>
      </c>
      <c r="N24" s="617">
        <v>88</v>
      </c>
    </row>
    <row r="25" spans="1:14" s="266" customFormat="1" ht="12">
      <c r="A25" s="1239">
        <v>9</v>
      </c>
      <c r="B25" s="1241" t="s">
        <v>762</v>
      </c>
      <c r="C25" s="1243" t="s">
        <v>56</v>
      </c>
      <c r="D25" s="1272" t="s">
        <v>102</v>
      </c>
      <c r="E25" s="1284" t="s">
        <v>1400</v>
      </c>
      <c r="F25" s="1241">
        <f>G25+H25</f>
        <v>51.109</v>
      </c>
      <c r="G25" s="1247">
        <v>51.109</v>
      </c>
      <c r="H25" s="1249">
        <v>0</v>
      </c>
      <c r="I25" s="263">
        <f t="shared" si="0"/>
        <v>3</v>
      </c>
      <c r="J25" s="264">
        <v>2</v>
      </c>
      <c r="K25" s="265">
        <v>1</v>
      </c>
      <c r="L25" s="263">
        <f t="shared" si="2"/>
        <v>35</v>
      </c>
      <c r="M25" s="264">
        <v>30</v>
      </c>
      <c r="N25" s="263">
        <v>5</v>
      </c>
    </row>
    <row r="26" spans="1:14" s="266" customFormat="1" ht="12.75" thickBot="1">
      <c r="A26" s="1240"/>
      <c r="B26" s="1242"/>
      <c r="C26" s="1244"/>
      <c r="D26" s="1273"/>
      <c r="E26" s="1285"/>
      <c r="F26" s="1242"/>
      <c r="G26" s="1248"/>
      <c r="H26" s="1250"/>
      <c r="I26" s="836">
        <f t="shared" si="0"/>
        <v>54.26</v>
      </c>
      <c r="J26" s="870">
        <v>48.26</v>
      </c>
      <c r="K26" s="846">
        <v>6</v>
      </c>
      <c r="L26" s="834">
        <f t="shared" si="2"/>
        <v>591</v>
      </c>
      <c r="M26" s="870">
        <v>533</v>
      </c>
      <c r="N26" s="834">
        <v>58</v>
      </c>
    </row>
    <row r="27" spans="1:14" s="266" customFormat="1" ht="12">
      <c r="A27" s="1239">
        <v>10</v>
      </c>
      <c r="B27" s="1241" t="s">
        <v>763</v>
      </c>
      <c r="C27" s="1243" t="s">
        <v>57</v>
      </c>
      <c r="D27" s="1272" t="s">
        <v>102</v>
      </c>
      <c r="E27" s="1284" t="s">
        <v>560</v>
      </c>
      <c r="F27" s="1241">
        <f>G27+H27</f>
        <v>9.84</v>
      </c>
      <c r="G27" s="1249">
        <v>9.84</v>
      </c>
      <c r="H27" s="1249">
        <v>0</v>
      </c>
      <c r="I27" s="263">
        <f t="shared" si="0"/>
        <v>1</v>
      </c>
      <c r="J27" s="265">
        <v>1</v>
      </c>
      <c r="K27" s="325">
        <v>0</v>
      </c>
      <c r="L27" s="263">
        <f t="shared" si="2"/>
        <v>8</v>
      </c>
      <c r="M27" s="265">
        <v>6</v>
      </c>
      <c r="N27" s="263">
        <v>2</v>
      </c>
    </row>
    <row r="28" spans="1:14" s="266" customFormat="1" ht="12.75" thickBot="1">
      <c r="A28" s="1240"/>
      <c r="B28" s="1242"/>
      <c r="C28" s="1244"/>
      <c r="D28" s="1273"/>
      <c r="E28" s="1285"/>
      <c r="F28" s="1242"/>
      <c r="G28" s="1250"/>
      <c r="H28" s="1250"/>
      <c r="I28" s="836">
        <f t="shared" si="0"/>
        <v>15.3</v>
      </c>
      <c r="J28" s="327">
        <v>15.3</v>
      </c>
      <c r="K28" s="869">
        <v>0</v>
      </c>
      <c r="L28" s="834">
        <f t="shared" si="2"/>
        <v>123</v>
      </c>
      <c r="M28" s="846">
        <v>100</v>
      </c>
      <c r="N28" s="834">
        <v>23</v>
      </c>
    </row>
    <row r="29" spans="1:14" s="266" customFormat="1" ht="12">
      <c r="A29" s="1239">
        <v>11</v>
      </c>
      <c r="B29" s="1241" t="s">
        <v>764</v>
      </c>
      <c r="C29" s="1243" t="s">
        <v>466</v>
      </c>
      <c r="D29" s="1259" t="s">
        <v>27</v>
      </c>
      <c r="E29" s="1249" t="s">
        <v>637</v>
      </c>
      <c r="F29" s="1241">
        <f>G29+H29</f>
        <v>0.32</v>
      </c>
      <c r="G29" s="1249">
        <v>0.32</v>
      </c>
      <c r="H29" s="1249">
        <v>0</v>
      </c>
      <c r="I29" s="263">
        <f t="shared" si="0"/>
        <v>0</v>
      </c>
      <c r="J29" s="264">
        <v>0</v>
      </c>
      <c r="K29" s="325">
        <v>0</v>
      </c>
      <c r="L29" s="263">
        <f t="shared" si="2"/>
        <v>2</v>
      </c>
      <c r="M29" s="264">
        <v>0</v>
      </c>
      <c r="N29" s="263">
        <v>2</v>
      </c>
    </row>
    <row r="30" spans="1:14" s="266" customFormat="1" ht="12.75" thickBot="1">
      <c r="A30" s="1240"/>
      <c r="B30" s="1242"/>
      <c r="C30" s="1244"/>
      <c r="D30" s="1260"/>
      <c r="E30" s="1250"/>
      <c r="F30" s="1242"/>
      <c r="G30" s="1250"/>
      <c r="H30" s="1250"/>
      <c r="I30" s="834">
        <f t="shared" si="0"/>
        <v>0</v>
      </c>
      <c r="J30" s="870">
        <v>0</v>
      </c>
      <c r="K30" s="869">
        <v>0</v>
      </c>
      <c r="L30" s="834">
        <f t="shared" si="2"/>
        <v>35</v>
      </c>
      <c r="M30" s="870">
        <v>0</v>
      </c>
      <c r="N30" s="834">
        <v>35</v>
      </c>
    </row>
    <row r="31" spans="1:14" s="266" customFormat="1" ht="12.75" customHeight="1">
      <c r="A31" s="1239">
        <v>12</v>
      </c>
      <c r="B31" s="1241" t="s">
        <v>765</v>
      </c>
      <c r="C31" s="1243" t="s">
        <v>59</v>
      </c>
      <c r="D31" s="1272" t="s">
        <v>102</v>
      </c>
      <c r="E31" s="1251" t="s">
        <v>1495</v>
      </c>
      <c r="F31" s="1247">
        <f>G31+H31</f>
        <v>5.38</v>
      </c>
      <c r="G31" s="1247">
        <v>5.38</v>
      </c>
      <c r="H31" s="1241">
        <v>0</v>
      </c>
      <c r="I31" s="263">
        <f t="shared" si="0"/>
        <v>1</v>
      </c>
      <c r="J31" s="265">
        <v>1</v>
      </c>
      <c r="K31" s="325">
        <v>0</v>
      </c>
      <c r="L31" s="263">
        <f t="shared" si="2"/>
        <v>3</v>
      </c>
      <c r="M31" s="265">
        <v>3</v>
      </c>
      <c r="N31" s="263">
        <v>0</v>
      </c>
    </row>
    <row r="32" spans="1:14" s="266" customFormat="1" ht="23.25" customHeight="1" thickBot="1">
      <c r="A32" s="1240"/>
      <c r="B32" s="1242"/>
      <c r="C32" s="1244"/>
      <c r="D32" s="1273"/>
      <c r="E32" s="1250"/>
      <c r="F32" s="1248"/>
      <c r="G32" s="1248"/>
      <c r="H32" s="1242"/>
      <c r="I32" s="836">
        <f t="shared" si="0"/>
        <v>42.8</v>
      </c>
      <c r="J32" s="327">
        <v>42.8</v>
      </c>
      <c r="K32" s="869">
        <v>0</v>
      </c>
      <c r="L32" s="834">
        <f t="shared" si="2"/>
        <v>62</v>
      </c>
      <c r="M32" s="846">
        <v>62</v>
      </c>
      <c r="N32" s="834">
        <v>0</v>
      </c>
    </row>
    <row r="33" spans="1:14" s="266" customFormat="1" ht="12">
      <c r="A33" s="1239">
        <v>13</v>
      </c>
      <c r="B33" s="1241" t="s">
        <v>766</v>
      </c>
      <c r="C33" s="1243" t="s">
        <v>419</v>
      </c>
      <c r="D33" s="1259" t="s">
        <v>27</v>
      </c>
      <c r="E33" s="1257" t="s">
        <v>72</v>
      </c>
      <c r="F33" s="1241">
        <f>G33+H33</f>
        <v>18.5</v>
      </c>
      <c r="G33" s="1249">
        <v>0</v>
      </c>
      <c r="H33" s="1249">
        <v>18.5</v>
      </c>
      <c r="I33" s="263">
        <f t="shared" si="0"/>
        <v>0</v>
      </c>
      <c r="J33" s="264">
        <v>0</v>
      </c>
      <c r="K33" s="325">
        <v>0</v>
      </c>
      <c r="L33" s="263">
        <f aca="true" t="shared" si="3" ref="L33:L38">M33+N33</f>
        <v>17</v>
      </c>
      <c r="M33" s="264">
        <v>14</v>
      </c>
      <c r="N33" s="263">
        <v>3</v>
      </c>
    </row>
    <row r="34" spans="1:14" s="266" customFormat="1" ht="18.75" customHeight="1" thickBot="1">
      <c r="A34" s="1240"/>
      <c r="B34" s="1242"/>
      <c r="C34" s="1244"/>
      <c r="D34" s="1260"/>
      <c r="E34" s="1261"/>
      <c r="F34" s="1242"/>
      <c r="G34" s="1250"/>
      <c r="H34" s="1250"/>
      <c r="I34" s="834">
        <f t="shared" si="0"/>
        <v>0</v>
      </c>
      <c r="J34" s="870">
        <v>0</v>
      </c>
      <c r="K34" s="869">
        <v>0</v>
      </c>
      <c r="L34" s="834">
        <f t="shared" si="3"/>
        <v>397</v>
      </c>
      <c r="M34" s="870">
        <v>347</v>
      </c>
      <c r="N34" s="834">
        <v>50</v>
      </c>
    </row>
    <row r="35" spans="1:14" s="266" customFormat="1" ht="12">
      <c r="A35" s="1239">
        <v>14</v>
      </c>
      <c r="B35" s="1241" t="s">
        <v>767</v>
      </c>
      <c r="C35" s="1243" t="s">
        <v>73</v>
      </c>
      <c r="D35" s="1259" t="s">
        <v>27</v>
      </c>
      <c r="E35" s="1257" t="s">
        <v>1168</v>
      </c>
      <c r="F35" s="1241">
        <f>G35+H35</f>
        <v>5.923</v>
      </c>
      <c r="G35" s="1247">
        <v>5.923</v>
      </c>
      <c r="H35" s="1249">
        <v>0</v>
      </c>
      <c r="I35" s="263">
        <f t="shared" si="0"/>
        <v>0</v>
      </c>
      <c r="J35" s="264">
        <v>0</v>
      </c>
      <c r="K35" s="325">
        <v>0</v>
      </c>
      <c r="L35" s="263">
        <f t="shared" si="3"/>
        <v>7</v>
      </c>
      <c r="M35" s="264">
        <v>3</v>
      </c>
      <c r="N35" s="263">
        <v>4</v>
      </c>
    </row>
    <row r="36" spans="1:14" s="266" customFormat="1" ht="12.75" thickBot="1">
      <c r="A36" s="1240"/>
      <c r="B36" s="1242"/>
      <c r="C36" s="1244"/>
      <c r="D36" s="1260"/>
      <c r="E36" s="1261"/>
      <c r="F36" s="1242"/>
      <c r="G36" s="1248"/>
      <c r="H36" s="1250"/>
      <c r="I36" s="834">
        <f t="shared" si="0"/>
        <v>0</v>
      </c>
      <c r="J36" s="870">
        <v>0</v>
      </c>
      <c r="K36" s="869">
        <v>0</v>
      </c>
      <c r="L36" s="834">
        <f t="shared" si="3"/>
        <v>108</v>
      </c>
      <c r="M36" s="870">
        <v>58</v>
      </c>
      <c r="N36" s="834">
        <v>50</v>
      </c>
    </row>
    <row r="37" spans="1:14" s="266" customFormat="1" ht="12">
      <c r="A37" s="1239">
        <v>15</v>
      </c>
      <c r="B37" s="1241" t="s">
        <v>768</v>
      </c>
      <c r="C37" s="1243" t="s">
        <v>74</v>
      </c>
      <c r="D37" s="1259" t="s">
        <v>27</v>
      </c>
      <c r="E37" s="1257" t="s">
        <v>662</v>
      </c>
      <c r="F37" s="1241">
        <f>G37+H37</f>
        <v>3.276</v>
      </c>
      <c r="G37" s="1247">
        <v>3.276</v>
      </c>
      <c r="H37" s="1249">
        <v>0</v>
      </c>
      <c r="I37" s="263">
        <f t="shared" si="0"/>
        <v>0</v>
      </c>
      <c r="J37" s="264">
        <v>0</v>
      </c>
      <c r="K37" s="325">
        <v>0</v>
      </c>
      <c r="L37" s="263">
        <f t="shared" si="3"/>
        <v>11</v>
      </c>
      <c r="M37" s="264">
        <v>3</v>
      </c>
      <c r="N37" s="263">
        <v>8</v>
      </c>
    </row>
    <row r="38" spans="1:14" s="266" customFormat="1" ht="12.75" thickBot="1">
      <c r="A38" s="1240"/>
      <c r="B38" s="1242"/>
      <c r="C38" s="1244"/>
      <c r="D38" s="1260"/>
      <c r="E38" s="1261"/>
      <c r="F38" s="1242"/>
      <c r="G38" s="1248"/>
      <c r="H38" s="1250"/>
      <c r="I38" s="834">
        <f t="shared" si="0"/>
        <v>0</v>
      </c>
      <c r="J38" s="870">
        <v>0</v>
      </c>
      <c r="K38" s="869">
        <v>0</v>
      </c>
      <c r="L38" s="834">
        <f t="shared" si="3"/>
        <v>137</v>
      </c>
      <c r="M38" s="870">
        <v>45</v>
      </c>
      <c r="N38" s="834">
        <v>92</v>
      </c>
    </row>
    <row r="39" spans="1:14" s="266" customFormat="1" ht="12">
      <c r="A39" s="1239">
        <v>16</v>
      </c>
      <c r="B39" s="1241" t="s">
        <v>769</v>
      </c>
      <c r="C39" s="1243" t="s">
        <v>61</v>
      </c>
      <c r="D39" s="1259" t="s">
        <v>27</v>
      </c>
      <c r="E39" s="1241" t="s">
        <v>562</v>
      </c>
      <c r="F39" s="1249">
        <f>G39+H39</f>
        <v>10.55</v>
      </c>
      <c r="G39" s="1249">
        <v>0</v>
      </c>
      <c r="H39" s="1249">
        <v>10.55</v>
      </c>
      <c r="I39" s="263">
        <f t="shared" si="0"/>
        <v>0</v>
      </c>
      <c r="J39" s="264">
        <v>0</v>
      </c>
      <c r="K39" s="325">
        <v>0</v>
      </c>
      <c r="L39" s="263">
        <f t="shared" si="2"/>
        <v>11</v>
      </c>
      <c r="M39" s="264">
        <v>3</v>
      </c>
      <c r="N39" s="263">
        <v>8</v>
      </c>
    </row>
    <row r="40" spans="1:14" s="266" customFormat="1" ht="12.75" thickBot="1">
      <c r="A40" s="1240"/>
      <c r="B40" s="1242"/>
      <c r="C40" s="1244"/>
      <c r="D40" s="1260"/>
      <c r="E40" s="1242"/>
      <c r="F40" s="1250"/>
      <c r="G40" s="1250"/>
      <c r="H40" s="1250"/>
      <c r="I40" s="834">
        <f t="shared" si="0"/>
        <v>0</v>
      </c>
      <c r="J40" s="870">
        <v>0</v>
      </c>
      <c r="K40" s="869">
        <v>0</v>
      </c>
      <c r="L40" s="834">
        <f t="shared" si="2"/>
        <v>150</v>
      </c>
      <c r="M40" s="870">
        <v>41</v>
      </c>
      <c r="N40" s="834">
        <v>109</v>
      </c>
    </row>
    <row r="41" spans="1:14" s="266" customFormat="1" ht="12">
      <c r="A41" s="1239">
        <v>17</v>
      </c>
      <c r="B41" s="1241" t="s">
        <v>770</v>
      </c>
      <c r="C41" s="1309" t="s">
        <v>62</v>
      </c>
      <c r="D41" s="1259" t="s">
        <v>27</v>
      </c>
      <c r="E41" s="1241" t="s">
        <v>661</v>
      </c>
      <c r="F41" s="1247">
        <f>G41+H41</f>
        <v>1.932</v>
      </c>
      <c r="G41" s="1249">
        <v>0</v>
      </c>
      <c r="H41" s="1247">
        <v>1.932</v>
      </c>
      <c r="I41" s="263">
        <f t="shared" si="0"/>
        <v>0</v>
      </c>
      <c r="J41" s="264">
        <v>0</v>
      </c>
      <c r="K41" s="325">
        <v>0</v>
      </c>
      <c r="L41" s="263">
        <f t="shared" si="2"/>
        <v>1</v>
      </c>
      <c r="M41" s="264">
        <v>0</v>
      </c>
      <c r="N41" s="263">
        <v>1</v>
      </c>
    </row>
    <row r="42" spans="1:14" s="266" customFormat="1" ht="12.75" thickBot="1">
      <c r="A42" s="1240"/>
      <c r="B42" s="1242"/>
      <c r="C42" s="1310"/>
      <c r="D42" s="1260"/>
      <c r="E42" s="1242"/>
      <c r="F42" s="1248"/>
      <c r="G42" s="1250"/>
      <c r="H42" s="1248"/>
      <c r="I42" s="834">
        <f t="shared" si="0"/>
        <v>0</v>
      </c>
      <c r="J42" s="870">
        <v>0</v>
      </c>
      <c r="K42" s="869">
        <v>0</v>
      </c>
      <c r="L42" s="834">
        <f t="shared" si="2"/>
        <v>22</v>
      </c>
      <c r="M42" s="870">
        <v>0</v>
      </c>
      <c r="N42" s="834">
        <v>22</v>
      </c>
    </row>
    <row r="43" spans="1:14" s="266" customFormat="1" ht="12">
      <c r="A43" s="1239">
        <v>18</v>
      </c>
      <c r="B43" s="1241" t="s">
        <v>771</v>
      </c>
      <c r="C43" s="1243" t="s">
        <v>63</v>
      </c>
      <c r="D43" s="1259" t="s">
        <v>27</v>
      </c>
      <c r="E43" s="1241" t="s">
        <v>1280</v>
      </c>
      <c r="F43" s="1247">
        <f>G43+H43</f>
        <v>16.991</v>
      </c>
      <c r="G43" s="1247">
        <v>1.65</v>
      </c>
      <c r="H43" s="1247">
        <v>15.341</v>
      </c>
      <c r="I43" s="263">
        <f t="shared" si="0"/>
        <v>0</v>
      </c>
      <c r="J43" s="264">
        <v>0</v>
      </c>
      <c r="K43" s="325">
        <v>0</v>
      </c>
      <c r="L43" s="263">
        <f t="shared" si="2"/>
        <v>7</v>
      </c>
      <c r="M43" s="264">
        <v>4</v>
      </c>
      <c r="N43" s="263">
        <v>3</v>
      </c>
    </row>
    <row r="44" spans="1:14" s="266" customFormat="1" ht="12.75" thickBot="1">
      <c r="A44" s="1240"/>
      <c r="B44" s="1242"/>
      <c r="C44" s="1244"/>
      <c r="D44" s="1260"/>
      <c r="E44" s="1242"/>
      <c r="F44" s="1248"/>
      <c r="G44" s="1248"/>
      <c r="H44" s="1248"/>
      <c r="I44" s="834">
        <f t="shared" si="0"/>
        <v>0</v>
      </c>
      <c r="J44" s="870">
        <v>0</v>
      </c>
      <c r="K44" s="869">
        <v>0</v>
      </c>
      <c r="L44" s="834">
        <f t="shared" si="2"/>
        <v>87</v>
      </c>
      <c r="M44" s="870">
        <v>56</v>
      </c>
      <c r="N44" s="834">
        <v>31</v>
      </c>
    </row>
    <row r="45" spans="1:14" s="266" customFormat="1" ht="12">
      <c r="A45" s="1239">
        <v>19</v>
      </c>
      <c r="B45" s="1241" t="s">
        <v>772</v>
      </c>
      <c r="C45" s="1243" t="s">
        <v>64</v>
      </c>
      <c r="D45" s="1245" t="s">
        <v>102</v>
      </c>
      <c r="E45" s="1257" t="s">
        <v>65</v>
      </c>
      <c r="F45" s="1249">
        <f>G45+H45</f>
        <v>3.1</v>
      </c>
      <c r="G45" s="1249">
        <v>3.1</v>
      </c>
      <c r="H45" s="1249">
        <v>0</v>
      </c>
      <c r="I45" s="263">
        <f t="shared" si="0"/>
        <v>0</v>
      </c>
      <c r="J45" s="264">
        <v>0</v>
      </c>
      <c r="K45" s="325">
        <v>0</v>
      </c>
      <c r="L45" s="263">
        <f aca="true" t="shared" si="4" ref="L45:L50">M45+N45</f>
        <v>7</v>
      </c>
      <c r="M45" s="264">
        <v>5</v>
      </c>
      <c r="N45" s="263">
        <v>2</v>
      </c>
    </row>
    <row r="46" spans="1:14" s="266" customFormat="1" ht="12.75" thickBot="1">
      <c r="A46" s="1240"/>
      <c r="B46" s="1242"/>
      <c r="C46" s="1244"/>
      <c r="D46" s="1246"/>
      <c r="E46" s="1261"/>
      <c r="F46" s="1250"/>
      <c r="G46" s="1250"/>
      <c r="H46" s="1250"/>
      <c r="I46" s="834">
        <f t="shared" si="0"/>
        <v>0</v>
      </c>
      <c r="J46" s="870">
        <v>0</v>
      </c>
      <c r="K46" s="869">
        <v>0</v>
      </c>
      <c r="L46" s="834">
        <f t="shared" si="4"/>
        <v>100</v>
      </c>
      <c r="M46" s="870">
        <v>75</v>
      </c>
      <c r="N46" s="834">
        <v>25</v>
      </c>
    </row>
    <row r="47" spans="1:14" s="266" customFormat="1" ht="12">
      <c r="A47" s="1239">
        <v>20</v>
      </c>
      <c r="B47" s="1241" t="s">
        <v>773</v>
      </c>
      <c r="C47" s="1243" t="s">
        <v>69</v>
      </c>
      <c r="D47" s="1259" t="s">
        <v>27</v>
      </c>
      <c r="E47" s="1257" t="s">
        <v>675</v>
      </c>
      <c r="F47" s="1247">
        <f>G47+H47</f>
        <v>13.514</v>
      </c>
      <c r="G47" s="1247">
        <v>3.443</v>
      </c>
      <c r="H47" s="1247">
        <v>10.071</v>
      </c>
      <c r="I47" s="263">
        <f t="shared" si="0"/>
        <v>0</v>
      </c>
      <c r="J47" s="264">
        <v>0</v>
      </c>
      <c r="K47" s="325">
        <v>0</v>
      </c>
      <c r="L47" s="263">
        <f t="shared" si="4"/>
        <v>9</v>
      </c>
      <c r="M47" s="264">
        <v>7</v>
      </c>
      <c r="N47" s="263">
        <v>2</v>
      </c>
    </row>
    <row r="48" spans="1:14" s="266" customFormat="1" ht="12.75" thickBot="1">
      <c r="A48" s="1240"/>
      <c r="B48" s="1242"/>
      <c r="C48" s="1244"/>
      <c r="D48" s="1260"/>
      <c r="E48" s="1261"/>
      <c r="F48" s="1248"/>
      <c r="G48" s="1248"/>
      <c r="H48" s="1248"/>
      <c r="I48" s="834">
        <f t="shared" si="0"/>
        <v>0</v>
      </c>
      <c r="J48" s="870">
        <v>0</v>
      </c>
      <c r="K48" s="869">
        <v>0</v>
      </c>
      <c r="L48" s="834">
        <f t="shared" si="4"/>
        <v>137</v>
      </c>
      <c r="M48" s="870">
        <v>104</v>
      </c>
      <c r="N48" s="834">
        <v>33</v>
      </c>
    </row>
    <row r="49" spans="1:14" s="266" customFormat="1" ht="12">
      <c r="A49" s="1239">
        <v>21</v>
      </c>
      <c r="B49" s="1241" t="s">
        <v>774</v>
      </c>
      <c r="C49" s="1243" t="s">
        <v>68</v>
      </c>
      <c r="D49" s="1259" t="s">
        <v>27</v>
      </c>
      <c r="E49" s="1257" t="s">
        <v>571</v>
      </c>
      <c r="F49" s="1249">
        <f>G49+H49</f>
        <v>6.77</v>
      </c>
      <c r="G49" s="1249">
        <v>6.77</v>
      </c>
      <c r="H49" s="1249">
        <v>0</v>
      </c>
      <c r="I49" s="263">
        <f t="shared" si="0"/>
        <v>1</v>
      </c>
      <c r="J49" s="264">
        <v>0</v>
      </c>
      <c r="K49" s="325">
        <v>1</v>
      </c>
      <c r="L49" s="263">
        <f t="shared" si="4"/>
        <v>12</v>
      </c>
      <c r="M49" s="264">
        <v>5</v>
      </c>
      <c r="N49" s="263">
        <v>7</v>
      </c>
    </row>
    <row r="50" spans="1:14" s="266" customFormat="1" ht="12.75" thickBot="1">
      <c r="A50" s="1240"/>
      <c r="B50" s="1242"/>
      <c r="C50" s="1244"/>
      <c r="D50" s="1260"/>
      <c r="E50" s="1261"/>
      <c r="F50" s="1250"/>
      <c r="G50" s="1250"/>
      <c r="H50" s="1250"/>
      <c r="I50" s="836">
        <f t="shared" si="0"/>
        <v>19.4</v>
      </c>
      <c r="J50" s="870">
        <v>0</v>
      </c>
      <c r="K50" s="792">
        <v>19.4</v>
      </c>
      <c r="L50" s="834">
        <f t="shared" si="4"/>
        <v>155</v>
      </c>
      <c r="M50" s="870">
        <v>52</v>
      </c>
      <c r="N50" s="834">
        <v>103</v>
      </c>
    </row>
    <row r="51" spans="1:14" s="266" customFormat="1" ht="12">
      <c r="A51" s="1239">
        <v>22</v>
      </c>
      <c r="B51" s="1241" t="s">
        <v>775</v>
      </c>
      <c r="C51" s="1243" t="s">
        <v>66</v>
      </c>
      <c r="D51" s="1259" t="s">
        <v>27</v>
      </c>
      <c r="E51" s="1241" t="s">
        <v>1281</v>
      </c>
      <c r="F51" s="1247">
        <f>G51+H51</f>
        <v>11.338</v>
      </c>
      <c r="G51" s="1247">
        <v>0</v>
      </c>
      <c r="H51" s="1247">
        <v>11.338</v>
      </c>
      <c r="I51" s="263">
        <f t="shared" si="0"/>
        <v>1</v>
      </c>
      <c r="J51" s="264">
        <v>1</v>
      </c>
      <c r="K51" s="325">
        <v>0</v>
      </c>
      <c r="L51" s="263">
        <f t="shared" si="2"/>
        <v>11</v>
      </c>
      <c r="M51" s="264">
        <v>9</v>
      </c>
      <c r="N51" s="263">
        <v>2</v>
      </c>
    </row>
    <row r="52" spans="1:14" s="266" customFormat="1" ht="12.75" thickBot="1">
      <c r="A52" s="1240"/>
      <c r="B52" s="1242"/>
      <c r="C52" s="1244"/>
      <c r="D52" s="1260"/>
      <c r="E52" s="1242"/>
      <c r="F52" s="1248"/>
      <c r="G52" s="1248"/>
      <c r="H52" s="1248"/>
      <c r="I52" s="836">
        <f t="shared" si="0"/>
        <v>39</v>
      </c>
      <c r="J52" s="326">
        <v>39</v>
      </c>
      <c r="K52" s="869">
        <v>0</v>
      </c>
      <c r="L52" s="834">
        <f t="shared" si="2"/>
        <v>149</v>
      </c>
      <c r="M52" s="870">
        <v>122</v>
      </c>
      <c r="N52" s="834">
        <v>27</v>
      </c>
    </row>
    <row r="53" spans="1:14" s="266" customFormat="1" ht="12">
      <c r="A53" s="1239">
        <v>23</v>
      </c>
      <c r="B53" s="1241" t="s">
        <v>776</v>
      </c>
      <c r="C53" s="1243" t="s">
        <v>71</v>
      </c>
      <c r="D53" s="1259" t="s">
        <v>27</v>
      </c>
      <c r="E53" s="1257" t="s">
        <v>1167</v>
      </c>
      <c r="F53" s="1241">
        <f>G53+H53</f>
        <v>15.4</v>
      </c>
      <c r="G53" s="1249">
        <v>15.4</v>
      </c>
      <c r="H53" s="1249">
        <v>0</v>
      </c>
      <c r="I53" s="263">
        <f t="shared" si="0"/>
        <v>0</v>
      </c>
      <c r="J53" s="264">
        <v>0</v>
      </c>
      <c r="K53" s="325">
        <v>0</v>
      </c>
      <c r="L53" s="263">
        <f aca="true" t="shared" si="5" ref="L53:L58">M53+N53</f>
        <v>24</v>
      </c>
      <c r="M53" s="264">
        <v>22</v>
      </c>
      <c r="N53" s="263">
        <v>2</v>
      </c>
    </row>
    <row r="54" spans="1:14" s="266" customFormat="1" ht="12.75" thickBot="1">
      <c r="A54" s="1240"/>
      <c r="B54" s="1242"/>
      <c r="C54" s="1244"/>
      <c r="D54" s="1260"/>
      <c r="E54" s="1261"/>
      <c r="F54" s="1242"/>
      <c r="G54" s="1250"/>
      <c r="H54" s="1250"/>
      <c r="I54" s="834">
        <f t="shared" si="0"/>
        <v>0</v>
      </c>
      <c r="J54" s="870">
        <v>0</v>
      </c>
      <c r="K54" s="869">
        <v>0</v>
      </c>
      <c r="L54" s="834">
        <f t="shared" si="5"/>
        <v>396</v>
      </c>
      <c r="M54" s="870">
        <v>373</v>
      </c>
      <c r="N54" s="834">
        <v>23</v>
      </c>
    </row>
    <row r="55" spans="1:14" s="266" customFormat="1" ht="12">
      <c r="A55" s="1269">
        <v>24</v>
      </c>
      <c r="B55" s="1306" t="s">
        <v>1285</v>
      </c>
      <c r="C55" s="1304" t="s">
        <v>53</v>
      </c>
      <c r="D55" s="1313" t="s">
        <v>102</v>
      </c>
      <c r="E55" s="1263" t="s">
        <v>1494</v>
      </c>
      <c r="F55" s="1306">
        <f>G55+H55</f>
        <v>92.25</v>
      </c>
      <c r="G55" s="1276">
        <v>92.25</v>
      </c>
      <c r="H55" s="1276">
        <v>0</v>
      </c>
      <c r="I55" s="660">
        <f t="shared" si="0"/>
        <v>6</v>
      </c>
      <c r="J55" s="661">
        <v>2</v>
      </c>
      <c r="K55" s="664">
        <v>4</v>
      </c>
      <c r="L55" s="660">
        <f t="shared" si="5"/>
        <v>109</v>
      </c>
      <c r="M55" s="661">
        <v>86</v>
      </c>
      <c r="N55" s="660">
        <v>23</v>
      </c>
    </row>
    <row r="56" spans="1:14" s="266" customFormat="1" ht="30" customHeight="1">
      <c r="A56" s="1270"/>
      <c r="B56" s="1266"/>
      <c r="C56" s="1303"/>
      <c r="D56" s="1314"/>
      <c r="E56" s="1324"/>
      <c r="F56" s="1266"/>
      <c r="G56" s="1277"/>
      <c r="H56" s="1277"/>
      <c r="I56" s="837">
        <f t="shared" si="0"/>
        <v>1360.25</v>
      </c>
      <c r="J56" s="665">
        <v>242.17</v>
      </c>
      <c r="K56" s="478">
        <v>1118.08</v>
      </c>
      <c r="L56" s="835">
        <f t="shared" si="5"/>
        <v>3864</v>
      </c>
      <c r="M56" s="665">
        <v>3311</v>
      </c>
      <c r="N56" s="835">
        <v>553</v>
      </c>
    </row>
    <row r="57" spans="1:14" s="266" customFormat="1" ht="12">
      <c r="A57" s="1270"/>
      <c r="B57" s="1265"/>
      <c r="C57" s="1302" t="s">
        <v>54</v>
      </c>
      <c r="D57" s="1311" t="s">
        <v>511</v>
      </c>
      <c r="E57" s="1267">
        <v>1.9</v>
      </c>
      <c r="F57" s="1265">
        <f>G57+H57</f>
        <v>1.9</v>
      </c>
      <c r="G57" s="1323">
        <v>1.9</v>
      </c>
      <c r="H57" s="1323">
        <v>0</v>
      </c>
      <c r="I57" s="666">
        <f t="shared" si="0"/>
        <v>2</v>
      </c>
      <c r="J57" s="667">
        <v>2</v>
      </c>
      <c r="K57" s="668">
        <v>0</v>
      </c>
      <c r="L57" s="666">
        <f t="shared" si="5"/>
        <v>2</v>
      </c>
      <c r="M57" s="667">
        <v>2</v>
      </c>
      <c r="N57" s="666">
        <v>0</v>
      </c>
    </row>
    <row r="58" spans="1:14" s="266" customFormat="1" ht="12">
      <c r="A58" s="1270"/>
      <c r="B58" s="1252"/>
      <c r="C58" s="1303"/>
      <c r="D58" s="1312"/>
      <c r="E58" s="1268"/>
      <c r="F58" s="1266"/>
      <c r="G58" s="1277"/>
      <c r="H58" s="1277"/>
      <c r="I58" s="835">
        <f t="shared" si="0"/>
        <v>113.24</v>
      </c>
      <c r="J58" s="669">
        <v>113.24</v>
      </c>
      <c r="K58" s="670">
        <v>0</v>
      </c>
      <c r="L58" s="840">
        <f t="shared" si="5"/>
        <v>57</v>
      </c>
      <c r="M58" s="669">
        <v>57</v>
      </c>
      <c r="N58" s="835">
        <v>0</v>
      </c>
    </row>
    <row r="59" spans="1:14" s="266" customFormat="1" ht="12">
      <c r="A59" s="1270"/>
      <c r="B59" s="1252"/>
      <c r="C59" s="843" t="s">
        <v>4</v>
      </c>
      <c r="D59" s="671" t="s">
        <v>102</v>
      </c>
      <c r="E59" s="672">
        <v>0.721</v>
      </c>
      <c r="F59" s="673">
        <f>G59+H59</f>
        <v>0.721</v>
      </c>
      <c r="G59" s="673">
        <v>0.721</v>
      </c>
      <c r="H59" s="673"/>
      <c r="I59" s="840"/>
      <c r="J59" s="839"/>
      <c r="K59" s="674"/>
      <c r="L59" s="839"/>
      <c r="M59" s="839"/>
      <c r="N59" s="840"/>
    </row>
    <row r="60" spans="1:14" s="266" customFormat="1" ht="12.75" thickBot="1">
      <c r="A60" s="1271"/>
      <c r="B60" s="1253"/>
      <c r="C60" s="844"/>
      <c r="D60" s="675" t="s">
        <v>27</v>
      </c>
      <c r="E60" s="676">
        <v>1.179</v>
      </c>
      <c r="F60" s="677">
        <f>G60+H60</f>
        <v>1.179</v>
      </c>
      <c r="G60" s="677">
        <v>1.179</v>
      </c>
      <c r="H60" s="677"/>
      <c r="I60" s="841"/>
      <c r="J60" s="841"/>
      <c r="K60" s="276"/>
      <c r="L60" s="841"/>
      <c r="M60" s="841"/>
      <c r="N60" s="841"/>
    </row>
    <row r="61" spans="1:14" s="266" customFormat="1" ht="12">
      <c r="A61" s="1239">
        <v>25</v>
      </c>
      <c r="B61" s="1241" t="s">
        <v>777</v>
      </c>
      <c r="C61" s="1243" t="s">
        <v>67</v>
      </c>
      <c r="D61" s="1259" t="s">
        <v>27</v>
      </c>
      <c r="E61" s="1257" t="s">
        <v>1169</v>
      </c>
      <c r="F61" s="1247">
        <f>G61+H61</f>
        <v>3.515</v>
      </c>
      <c r="G61" s="1247">
        <v>3.515</v>
      </c>
      <c r="H61" s="1249">
        <v>0</v>
      </c>
      <c r="I61" s="263">
        <f aca="true" t="shared" si="6" ref="I61:I72">J61+K61</f>
        <v>0</v>
      </c>
      <c r="J61" s="264">
        <v>0</v>
      </c>
      <c r="K61" s="325">
        <v>0</v>
      </c>
      <c r="L61" s="263">
        <f t="shared" si="2"/>
        <v>11</v>
      </c>
      <c r="M61" s="264">
        <v>11</v>
      </c>
      <c r="N61" s="263">
        <v>0</v>
      </c>
    </row>
    <row r="62" spans="1:14" s="266" customFormat="1" ht="12.75" thickBot="1">
      <c r="A62" s="1240"/>
      <c r="B62" s="1242"/>
      <c r="C62" s="1244"/>
      <c r="D62" s="1260"/>
      <c r="E62" s="1261"/>
      <c r="F62" s="1248"/>
      <c r="G62" s="1248"/>
      <c r="H62" s="1250"/>
      <c r="I62" s="834">
        <f t="shared" si="6"/>
        <v>0</v>
      </c>
      <c r="J62" s="870">
        <v>0</v>
      </c>
      <c r="K62" s="869">
        <v>0</v>
      </c>
      <c r="L62" s="834">
        <f t="shared" si="2"/>
        <v>160</v>
      </c>
      <c r="M62" s="870">
        <v>160</v>
      </c>
      <c r="N62" s="834">
        <v>0</v>
      </c>
    </row>
    <row r="63" spans="1:14" s="266" customFormat="1" ht="12" customHeight="1">
      <c r="A63" s="1239">
        <v>26</v>
      </c>
      <c r="B63" s="1241" t="s">
        <v>778</v>
      </c>
      <c r="C63" s="1243" t="s">
        <v>75</v>
      </c>
      <c r="D63" s="1259" t="s">
        <v>27</v>
      </c>
      <c r="E63" s="1257" t="s">
        <v>1422</v>
      </c>
      <c r="F63" s="1247">
        <f>G63+H63</f>
        <v>3.109</v>
      </c>
      <c r="G63" s="1247">
        <v>1.4</v>
      </c>
      <c r="H63" s="1247">
        <v>1.709</v>
      </c>
      <c r="I63" s="263">
        <f t="shared" si="6"/>
        <v>0</v>
      </c>
      <c r="J63" s="264">
        <v>0</v>
      </c>
      <c r="K63" s="325">
        <v>0</v>
      </c>
      <c r="L63" s="263">
        <f aca="true" t="shared" si="7" ref="L63:L72">M63+N63</f>
        <v>7</v>
      </c>
      <c r="M63" s="264">
        <v>6</v>
      </c>
      <c r="N63" s="263">
        <v>1</v>
      </c>
    </row>
    <row r="64" spans="1:14" s="266" customFormat="1" ht="12.75" thickBot="1">
      <c r="A64" s="1240"/>
      <c r="B64" s="1242"/>
      <c r="C64" s="1244"/>
      <c r="D64" s="1260"/>
      <c r="E64" s="1261"/>
      <c r="F64" s="1248"/>
      <c r="G64" s="1248"/>
      <c r="H64" s="1248"/>
      <c r="I64" s="834">
        <f t="shared" si="6"/>
        <v>0</v>
      </c>
      <c r="J64" s="870">
        <v>0</v>
      </c>
      <c r="K64" s="869">
        <v>0</v>
      </c>
      <c r="L64" s="834">
        <f t="shared" si="7"/>
        <v>124</v>
      </c>
      <c r="M64" s="870">
        <v>114</v>
      </c>
      <c r="N64" s="834">
        <v>10</v>
      </c>
    </row>
    <row r="65" spans="1:14" s="266" customFormat="1" ht="12">
      <c r="A65" s="1239">
        <v>27</v>
      </c>
      <c r="B65" s="1241" t="s">
        <v>851</v>
      </c>
      <c r="C65" s="1243" t="s">
        <v>153</v>
      </c>
      <c r="D65" s="1257" t="s">
        <v>27</v>
      </c>
      <c r="E65" s="1241" t="s">
        <v>638</v>
      </c>
      <c r="F65" s="1241">
        <f>G65+H65</f>
        <v>2.968</v>
      </c>
      <c r="G65" s="1247">
        <v>2.968</v>
      </c>
      <c r="H65" s="1249">
        <v>0</v>
      </c>
      <c r="I65" s="263">
        <f t="shared" si="6"/>
        <v>0</v>
      </c>
      <c r="J65" s="264">
        <v>0</v>
      </c>
      <c r="K65" s="325">
        <v>0</v>
      </c>
      <c r="L65" s="263">
        <f t="shared" si="7"/>
        <v>2</v>
      </c>
      <c r="M65" s="264">
        <v>1</v>
      </c>
      <c r="N65" s="325">
        <v>1</v>
      </c>
    </row>
    <row r="66" spans="1:14" s="266" customFormat="1" ht="12.75" thickBot="1">
      <c r="A66" s="1240"/>
      <c r="B66" s="1242"/>
      <c r="C66" s="1244"/>
      <c r="D66" s="1261"/>
      <c r="E66" s="1242"/>
      <c r="F66" s="1242"/>
      <c r="G66" s="1248"/>
      <c r="H66" s="1250"/>
      <c r="I66" s="411">
        <f t="shared" si="6"/>
        <v>0</v>
      </c>
      <c r="J66" s="424">
        <v>0</v>
      </c>
      <c r="K66" s="435">
        <v>0</v>
      </c>
      <c r="L66" s="411">
        <f t="shared" si="7"/>
        <v>24</v>
      </c>
      <c r="M66" s="424">
        <v>14</v>
      </c>
      <c r="N66" s="435">
        <v>10</v>
      </c>
    </row>
    <row r="67" spans="1:14" s="266" customFormat="1" ht="12">
      <c r="A67" s="1239">
        <v>28</v>
      </c>
      <c r="B67" s="1241" t="s">
        <v>1147</v>
      </c>
      <c r="C67" s="1243" t="s">
        <v>60</v>
      </c>
      <c r="D67" s="1259" t="s">
        <v>27</v>
      </c>
      <c r="E67" s="1272" t="s">
        <v>561</v>
      </c>
      <c r="F67" s="1249">
        <f>G67+H67</f>
        <v>7.960000000000001</v>
      </c>
      <c r="G67" s="1274">
        <v>0.222</v>
      </c>
      <c r="H67" s="1274">
        <v>7.738</v>
      </c>
      <c r="I67" s="263">
        <f t="shared" si="6"/>
        <v>0</v>
      </c>
      <c r="J67" s="264">
        <v>0</v>
      </c>
      <c r="K67" s="325">
        <v>0</v>
      </c>
      <c r="L67" s="263">
        <f t="shared" si="7"/>
        <v>5</v>
      </c>
      <c r="M67" s="264">
        <v>1</v>
      </c>
      <c r="N67" s="263">
        <v>4</v>
      </c>
    </row>
    <row r="68" spans="1:14" s="266" customFormat="1" ht="12.75" thickBot="1">
      <c r="A68" s="1240"/>
      <c r="B68" s="1242"/>
      <c r="C68" s="1244"/>
      <c r="D68" s="1260"/>
      <c r="E68" s="1273"/>
      <c r="F68" s="1250"/>
      <c r="G68" s="1275"/>
      <c r="H68" s="1275"/>
      <c r="I68" s="411">
        <f t="shared" si="6"/>
        <v>0</v>
      </c>
      <c r="J68" s="424">
        <v>0</v>
      </c>
      <c r="K68" s="435">
        <v>0</v>
      </c>
      <c r="L68" s="411">
        <f t="shared" si="7"/>
        <v>72</v>
      </c>
      <c r="M68" s="424">
        <v>14</v>
      </c>
      <c r="N68" s="411">
        <v>58</v>
      </c>
    </row>
    <row r="69" spans="1:14" s="266" customFormat="1" ht="12">
      <c r="A69" s="1239">
        <v>29</v>
      </c>
      <c r="B69" s="1241" t="s">
        <v>1153</v>
      </c>
      <c r="C69" s="1243" t="s">
        <v>537</v>
      </c>
      <c r="D69" s="1259" t="s">
        <v>49</v>
      </c>
      <c r="E69" s="1257" t="s">
        <v>52</v>
      </c>
      <c r="F69" s="1249">
        <f>G69+H69</f>
        <v>1.5</v>
      </c>
      <c r="G69" s="1249">
        <v>0</v>
      </c>
      <c r="H69" s="1249">
        <v>1.5</v>
      </c>
      <c r="I69" s="410">
        <f t="shared" si="6"/>
        <v>0</v>
      </c>
      <c r="J69" s="423">
        <v>0</v>
      </c>
      <c r="K69" s="434">
        <v>0</v>
      </c>
      <c r="L69" s="410">
        <f t="shared" si="7"/>
        <v>2</v>
      </c>
      <c r="M69" s="438">
        <v>0</v>
      </c>
      <c r="N69" s="410">
        <v>2</v>
      </c>
    </row>
    <row r="70" spans="1:14" s="266" customFormat="1" ht="12.75" thickBot="1">
      <c r="A70" s="1240"/>
      <c r="B70" s="1242"/>
      <c r="C70" s="1244"/>
      <c r="D70" s="1260"/>
      <c r="E70" s="1261"/>
      <c r="F70" s="1250"/>
      <c r="G70" s="1250"/>
      <c r="H70" s="1250"/>
      <c r="I70" s="411">
        <f t="shared" si="6"/>
        <v>0</v>
      </c>
      <c r="J70" s="424">
        <v>0</v>
      </c>
      <c r="K70" s="435">
        <v>0</v>
      </c>
      <c r="L70" s="411">
        <f t="shared" si="7"/>
        <v>27</v>
      </c>
      <c r="M70" s="440">
        <v>0</v>
      </c>
      <c r="N70" s="411">
        <v>27</v>
      </c>
    </row>
    <row r="71" spans="1:14" s="266" customFormat="1" ht="12">
      <c r="A71" s="1239">
        <v>30</v>
      </c>
      <c r="B71" s="1241" t="s">
        <v>1284</v>
      </c>
      <c r="C71" s="1243" t="s">
        <v>1220</v>
      </c>
      <c r="D71" s="1245" t="s">
        <v>102</v>
      </c>
      <c r="E71" s="1241" t="s">
        <v>1190</v>
      </c>
      <c r="F71" s="1241">
        <f>G71+H71</f>
        <v>11.1</v>
      </c>
      <c r="G71" s="1247">
        <v>11.1</v>
      </c>
      <c r="H71" s="1249">
        <v>0</v>
      </c>
      <c r="I71" s="263">
        <f t="shared" si="6"/>
        <v>0</v>
      </c>
      <c r="J71" s="264">
        <v>0</v>
      </c>
      <c r="K71" s="325">
        <v>0</v>
      </c>
      <c r="L71" s="263">
        <f t="shared" si="7"/>
        <v>46</v>
      </c>
      <c r="M71" s="264">
        <v>14</v>
      </c>
      <c r="N71" s="325">
        <v>32</v>
      </c>
    </row>
    <row r="72" spans="1:14" s="266" customFormat="1" ht="27.75" customHeight="1" thickBot="1">
      <c r="A72" s="1240"/>
      <c r="B72" s="1242"/>
      <c r="C72" s="1244"/>
      <c r="D72" s="1246"/>
      <c r="E72" s="1242"/>
      <c r="F72" s="1242"/>
      <c r="G72" s="1248"/>
      <c r="H72" s="1250"/>
      <c r="I72" s="411">
        <f t="shared" si="6"/>
        <v>0</v>
      </c>
      <c r="J72" s="424">
        <v>0</v>
      </c>
      <c r="K72" s="435">
        <v>0</v>
      </c>
      <c r="L72" s="411">
        <f t="shared" si="7"/>
        <v>885</v>
      </c>
      <c r="M72" s="424">
        <v>487</v>
      </c>
      <c r="N72" s="435">
        <v>398</v>
      </c>
    </row>
    <row r="73" spans="1:14" s="272" customFormat="1" ht="12">
      <c r="A73" s="1270"/>
      <c r="B73" s="300"/>
      <c r="C73" s="1252" t="s">
        <v>229</v>
      </c>
      <c r="D73" s="1252"/>
      <c r="E73" s="1252"/>
      <c r="F73" s="1254">
        <f aca="true" t="shared" si="8" ref="F73:N73">F55+F57+F23+F25+F27+F29+F31+F67+F39+F41+F43+F51+F45+F61+F49+F47+F15+F17+F53+F33+F35+F37+F63+F7+F21+F11+F13+F19+F69+F65+F71</f>
        <v>354.94</v>
      </c>
      <c r="G73" s="1254">
        <f t="shared" si="8"/>
        <v>268.29800000000006</v>
      </c>
      <c r="H73" s="1254">
        <f t="shared" si="8"/>
        <v>86.642</v>
      </c>
      <c r="I73" s="271">
        <f t="shared" si="8"/>
        <v>19</v>
      </c>
      <c r="J73" s="271">
        <f t="shared" si="8"/>
        <v>13</v>
      </c>
      <c r="K73" s="271">
        <f t="shared" si="8"/>
        <v>6</v>
      </c>
      <c r="L73" s="271">
        <f t="shared" si="8"/>
        <v>398</v>
      </c>
      <c r="M73" s="271">
        <f t="shared" si="8"/>
        <v>262</v>
      </c>
      <c r="N73" s="271">
        <f t="shared" si="8"/>
        <v>136</v>
      </c>
    </row>
    <row r="74" spans="1:14" s="272" customFormat="1" ht="13.5" customHeight="1" thickBot="1">
      <c r="A74" s="1271"/>
      <c r="B74" s="273"/>
      <c r="C74" s="1253"/>
      <c r="D74" s="1253"/>
      <c r="E74" s="1253"/>
      <c r="F74" s="1255"/>
      <c r="G74" s="1255"/>
      <c r="H74" s="1255"/>
      <c r="I74" s="274">
        <f aca="true" t="shared" si="9" ref="I74:N74">I56+I58+I24+I26+I28+I30+I32+I68+I40+I42+I44+I52+I46+I62+I50+I48+I16+I18+I54+I34+I36+I38+I64+I8+I22+I12+I14+I20+I70+I66+I72</f>
        <v>1807.51</v>
      </c>
      <c r="J74" s="274">
        <f t="shared" si="9"/>
        <v>664.03</v>
      </c>
      <c r="K74" s="274">
        <f t="shared" si="9"/>
        <v>1143.48</v>
      </c>
      <c r="L74" s="275">
        <f t="shared" si="9"/>
        <v>8557</v>
      </c>
      <c r="M74" s="275">
        <f t="shared" si="9"/>
        <v>6549</v>
      </c>
      <c r="N74" s="275">
        <f t="shared" si="9"/>
        <v>2008</v>
      </c>
    </row>
    <row r="75" spans="1:8" ht="12.75">
      <c r="A75" s="151"/>
      <c r="B75" s="153"/>
      <c r="C75" s="1150" t="s">
        <v>454</v>
      </c>
      <c r="D75" s="161" t="s">
        <v>450</v>
      </c>
      <c r="E75" s="162"/>
      <c r="F75" s="163">
        <f>SUMIF($D$7:$D$72,"=I",F7:F72)</f>
        <v>0</v>
      </c>
      <c r="G75" s="163">
        <f>SUMIF($D$7:$D$72,"=I",G7:G72)</f>
        <v>0</v>
      </c>
      <c r="H75" s="163">
        <f>SUMIF($D$7:$D$72,"=I",H7:H72)</f>
        <v>0</v>
      </c>
    </row>
    <row r="76" spans="1:8" ht="12.75">
      <c r="A76" s="151"/>
      <c r="B76" s="153"/>
      <c r="C76" s="1151"/>
      <c r="D76" s="69" t="s">
        <v>100</v>
      </c>
      <c r="E76" s="63"/>
      <c r="F76" s="64">
        <f>SUMIF($D$7:$D$72,"=II",F7:F72)</f>
        <v>0</v>
      </c>
      <c r="G76" s="64">
        <f>SUMIF($D$7:$D$72,"=II",G7:G72)</f>
        <v>0</v>
      </c>
      <c r="H76" s="64">
        <f>SUMIF($D$7:$D$72,"=II",H7:H72)</f>
        <v>0</v>
      </c>
    </row>
    <row r="77" spans="1:8" ht="12.75">
      <c r="A77" s="151"/>
      <c r="B77" s="153"/>
      <c r="C77" s="1151"/>
      <c r="D77" s="68" t="s">
        <v>102</v>
      </c>
      <c r="E77" s="63"/>
      <c r="F77" s="111">
        <f>SUMIF($D$7:$D$72,"=III",F7:F72)</f>
        <v>213.74099999999999</v>
      </c>
      <c r="G77" s="111">
        <f>SUMIF($D$7:$D$72,"=III",G7:G72)</f>
        <v>213.74099999999999</v>
      </c>
      <c r="H77" s="111">
        <f>SUMIF($D$7:$D$72,"=III",H7:H72)</f>
        <v>0</v>
      </c>
    </row>
    <row r="78" spans="1:8" ht="12.75">
      <c r="A78" s="151"/>
      <c r="B78" s="153"/>
      <c r="C78" s="1151"/>
      <c r="D78" s="70" t="s">
        <v>27</v>
      </c>
      <c r="E78" s="67"/>
      <c r="F78" s="111">
        <f>SUMIF($D$7:$D$72,"=IV",F7:F72)</f>
        <v>138.018</v>
      </c>
      <c r="G78" s="111">
        <f>SUMIF($D$7:$D$72,"=IV",G7:G72)</f>
        <v>54.041999999999994</v>
      </c>
      <c r="H78" s="111">
        <f>SUMIF($D$7:$D$72,"=IV",H7:H72)</f>
        <v>83.976</v>
      </c>
    </row>
    <row r="79" spans="1:8" ht="12.75">
      <c r="A79" s="152"/>
      <c r="B79" s="154"/>
      <c r="C79" s="1151"/>
      <c r="D79" s="70" t="s">
        <v>49</v>
      </c>
      <c r="E79" s="64"/>
      <c r="F79" s="98">
        <f>SUMIF($D$7:$D$72,"=V",F7:F72)</f>
        <v>3.181</v>
      </c>
      <c r="G79" s="98">
        <f>SUMIF($D$7:$D$72,"=V",G7:G72)</f>
        <v>0.515</v>
      </c>
      <c r="H79" s="98">
        <f>SUMIF($D$7:$D$72,"=V",H7:H72)</f>
        <v>2.666</v>
      </c>
    </row>
    <row r="80" spans="3:5" ht="12.75">
      <c r="C80" s="8"/>
      <c r="D80" s="8"/>
      <c r="E80" s="4"/>
    </row>
    <row r="81" spans="3:5" ht="12.75">
      <c r="C81" s="6"/>
      <c r="D81" s="6"/>
      <c r="E81" s="4"/>
    </row>
    <row r="82" spans="3:5" ht="12.75">
      <c r="C82" s="8"/>
      <c r="D82" s="8"/>
      <c r="E82" s="4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</sheetData>
  <sheetProtection/>
  <mergeCells count="272">
    <mergeCell ref="E53:E54"/>
    <mergeCell ref="E47:E48"/>
    <mergeCell ref="H61:H62"/>
    <mergeCell ref="E15:E16"/>
    <mergeCell ref="F15:F16"/>
    <mergeCell ref="H49:H50"/>
    <mergeCell ref="F49:F50"/>
    <mergeCell ref="F61:F62"/>
    <mergeCell ref="F29:F30"/>
    <mergeCell ref="H29:H30"/>
    <mergeCell ref="G29:G30"/>
    <mergeCell ref="H23:H24"/>
    <mergeCell ref="F27:F28"/>
    <mergeCell ref="F23:F24"/>
    <mergeCell ref="G53:G54"/>
    <mergeCell ref="F53:F54"/>
    <mergeCell ref="D53:D54"/>
    <mergeCell ref="G55:G56"/>
    <mergeCell ref="H57:H58"/>
    <mergeCell ref="G61:G62"/>
    <mergeCell ref="F55:F56"/>
    <mergeCell ref="G57:G58"/>
    <mergeCell ref="E55:E56"/>
    <mergeCell ref="A4:A6"/>
    <mergeCell ref="A27:A28"/>
    <mergeCell ref="L5:L6"/>
    <mergeCell ref="L4:N4"/>
    <mergeCell ref="M5:N5"/>
    <mergeCell ref="D23:D24"/>
    <mergeCell ref="C13:C14"/>
    <mergeCell ref="C11:C12"/>
    <mergeCell ref="B21:B22"/>
    <mergeCell ref="B4:B6"/>
    <mergeCell ref="C21:C22"/>
    <mergeCell ref="C7:C10"/>
    <mergeCell ref="B15:B16"/>
    <mergeCell ref="C15:C16"/>
    <mergeCell ref="C17:C18"/>
    <mergeCell ref="B17:B18"/>
    <mergeCell ref="D67:D68"/>
    <mergeCell ref="F31:F32"/>
    <mergeCell ref="H31:H32"/>
    <mergeCell ref="E31:E32"/>
    <mergeCell ref="D57:D58"/>
    <mergeCell ref="D31:D32"/>
    <mergeCell ref="D55:D56"/>
    <mergeCell ref="F63:F64"/>
    <mergeCell ref="H53:H54"/>
    <mergeCell ref="C25:C26"/>
    <mergeCell ref="E27:E28"/>
    <mergeCell ref="D27:D28"/>
    <mergeCell ref="D25:D26"/>
    <mergeCell ref="E29:E30"/>
    <mergeCell ref="C29:C30"/>
    <mergeCell ref="D29:D30"/>
    <mergeCell ref="C27:C28"/>
    <mergeCell ref="D69:D70"/>
    <mergeCell ref="A51:A52"/>
    <mergeCell ref="C45:C46"/>
    <mergeCell ref="C69:C70"/>
    <mergeCell ref="C19:C20"/>
    <mergeCell ref="D19:D20"/>
    <mergeCell ref="D21:D22"/>
    <mergeCell ref="D33:D34"/>
    <mergeCell ref="A39:A40"/>
    <mergeCell ref="B67:B68"/>
    <mergeCell ref="C67:C68"/>
    <mergeCell ref="C39:C40"/>
    <mergeCell ref="A67:A68"/>
    <mergeCell ref="C41:C42"/>
    <mergeCell ref="A63:A64"/>
    <mergeCell ref="B63:B64"/>
    <mergeCell ref="C61:C62"/>
    <mergeCell ref="C43:C44"/>
    <mergeCell ref="B57:B60"/>
    <mergeCell ref="B55:B56"/>
    <mergeCell ref="A35:A36"/>
    <mergeCell ref="B27:B28"/>
    <mergeCell ref="A37:A38"/>
    <mergeCell ref="B37:B38"/>
    <mergeCell ref="B39:B40"/>
    <mergeCell ref="A41:A42"/>
    <mergeCell ref="B41:B42"/>
    <mergeCell ref="B31:B32"/>
    <mergeCell ref="B35:B36"/>
    <mergeCell ref="A69:A70"/>
    <mergeCell ref="A13:A14"/>
    <mergeCell ref="B69:B70"/>
    <mergeCell ref="A7:A10"/>
    <mergeCell ref="B13:B14"/>
    <mergeCell ref="B7:B10"/>
    <mergeCell ref="A19:A20"/>
    <mergeCell ref="B19:B20"/>
    <mergeCell ref="A21:A22"/>
    <mergeCell ref="B11:B12"/>
    <mergeCell ref="A11:A12"/>
    <mergeCell ref="C51:C52"/>
    <mergeCell ref="D43:D44"/>
    <mergeCell ref="D51:D52"/>
    <mergeCell ref="D45:D46"/>
    <mergeCell ref="B45:B46"/>
    <mergeCell ref="B43:B44"/>
    <mergeCell ref="B51:B52"/>
    <mergeCell ref="A45:A46"/>
    <mergeCell ref="A43:A44"/>
    <mergeCell ref="B61:B62"/>
    <mergeCell ref="A49:A50"/>
    <mergeCell ref="C53:C54"/>
    <mergeCell ref="A23:A24"/>
    <mergeCell ref="B23:B24"/>
    <mergeCell ref="B25:B26"/>
    <mergeCell ref="A25:A26"/>
    <mergeCell ref="A53:A54"/>
    <mergeCell ref="C55:C56"/>
    <mergeCell ref="C31:C32"/>
    <mergeCell ref="C57:C58"/>
    <mergeCell ref="C23:C24"/>
    <mergeCell ref="B29:B30"/>
    <mergeCell ref="A73:A74"/>
    <mergeCell ref="C73:C74"/>
    <mergeCell ref="A61:A62"/>
    <mergeCell ref="C65:C66"/>
    <mergeCell ref="C63:C64"/>
    <mergeCell ref="A33:A34"/>
    <mergeCell ref="B33:B34"/>
    <mergeCell ref="B53:B54"/>
    <mergeCell ref="A1:N1"/>
    <mergeCell ref="A2:N2"/>
    <mergeCell ref="E4:E6"/>
    <mergeCell ref="F4:F6"/>
    <mergeCell ref="G5:G6"/>
    <mergeCell ref="A29:A30"/>
    <mergeCell ref="I5:I6"/>
    <mergeCell ref="I4:K4"/>
    <mergeCell ref="C4:C6"/>
    <mergeCell ref="D4:D6"/>
    <mergeCell ref="E25:E26"/>
    <mergeCell ref="F25:F26"/>
    <mergeCell ref="G25:G26"/>
    <mergeCell ref="H25:H26"/>
    <mergeCell ref="H5:H6"/>
    <mergeCell ref="E17:E18"/>
    <mergeCell ref="H17:H18"/>
    <mergeCell ref="G23:G24"/>
    <mergeCell ref="F17:F18"/>
    <mergeCell ref="G51:G52"/>
    <mergeCell ref="G49:G50"/>
    <mergeCell ref="H27:H28"/>
    <mergeCell ref="G27:G28"/>
    <mergeCell ref="G4:H4"/>
    <mergeCell ref="J5:K5"/>
    <mergeCell ref="G31:G32"/>
    <mergeCell ref="H47:H48"/>
    <mergeCell ref="G39:G40"/>
    <mergeCell ref="G17:G18"/>
    <mergeCell ref="E67:E68"/>
    <mergeCell ref="E39:E40"/>
    <mergeCell ref="F67:F68"/>
    <mergeCell ref="E49:E50"/>
    <mergeCell ref="G43:G44"/>
    <mergeCell ref="H67:H68"/>
    <mergeCell ref="E45:E46"/>
    <mergeCell ref="G67:G68"/>
    <mergeCell ref="E51:E52"/>
    <mergeCell ref="H55:H56"/>
    <mergeCell ref="F39:F40"/>
    <mergeCell ref="F43:F44"/>
    <mergeCell ref="H45:H46"/>
    <mergeCell ref="H39:H40"/>
    <mergeCell ref="F45:F46"/>
    <mergeCell ref="G45:G46"/>
    <mergeCell ref="G41:G42"/>
    <mergeCell ref="F41:F42"/>
    <mergeCell ref="H33:H34"/>
    <mergeCell ref="H51:H52"/>
    <mergeCell ref="H43:H44"/>
    <mergeCell ref="F51:F52"/>
    <mergeCell ref="G35:G36"/>
    <mergeCell ref="A65:A66"/>
    <mergeCell ref="B65:B66"/>
    <mergeCell ref="C49:C50"/>
    <mergeCell ref="D63:D64"/>
    <mergeCell ref="G47:G48"/>
    <mergeCell ref="H19:H20"/>
    <mergeCell ref="A47:A48"/>
    <mergeCell ref="B47:B48"/>
    <mergeCell ref="D61:D62"/>
    <mergeCell ref="C47:C48"/>
    <mergeCell ref="D17:D18"/>
    <mergeCell ref="E41:E42"/>
    <mergeCell ref="C37:C38"/>
    <mergeCell ref="D41:D42"/>
    <mergeCell ref="E33:E34"/>
    <mergeCell ref="A15:A16"/>
    <mergeCell ref="A31:A32"/>
    <mergeCell ref="A55:A60"/>
    <mergeCell ref="B49:B50"/>
    <mergeCell ref="A17:A18"/>
    <mergeCell ref="G63:G64"/>
    <mergeCell ref="C33:C34"/>
    <mergeCell ref="C35:C36"/>
    <mergeCell ref="D37:D38"/>
    <mergeCell ref="D35:D36"/>
    <mergeCell ref="E19:E20"/>
    <mergeCell ref="E21:E22"/>
    <mergeCell ref="F37:F38"/>
    <mergeCell ref="G33:G34"/>
    <mergeCell ref="F33:F34"/>
    <mergeCell ref="E63:E64"/>
    <mergeCell ref="E43:E44"/>
    <mergeCell ref="E35:E36"/>
    <mergeCell ref="E61:E62"/>
    <mergeCell ref="E57:E58"/>
    <mergeCell ref="G69:G70"/>
    <mergeCell ref="G37:G38"/>
    <mergeCell ref="H35:H36"/>
    <mergeCell ref="H69:H70"/>
    <mergeCell ref="F69:F70"/>
    <mergeCell ref="E69:E70"/>
    <mergeCell ref="H63:H64"/>
    <mergeCell ref="H41:H42"/>
    <mergeCell ref="H37:H38"/>
    <mergeCell ref="F57:F58"/>
    <mergeCell ref="F19:F20"/>
    <mergeCell ref="H65:H66"/>
    <mergeCell ref="F65:F66"/>
    <mergeCell ref="G65:G66"/>
    <mergeCell ref="D11:D12"/>
    <mergeCell ref="D15:D16"/>
    <mergeCell ref="E37:E38"/>
    <mergeCell ref="F21:F22"/>
    <mergeCell ref="F13:F14"/>
    <mergeCell ref="D39:D40"/>
    <mergeCell ref="F11:F12"/>
    <mergeCell ref="E65:E66"/>
    <mergeCell ref="E13:E14"/>
    <mergeCell ref="F47:F48"/>
    <mergeCell ref="D65:D66"/>
    <mergeCell ref="D7:D8"/>
    <mergeCell ref="D47:D48"/>
    <mergeCell ref="D49:D50"/>
    <mergeCell ref="E23:E24"/>
    <mergeCell ref="F7:F8"/>
    <mergeCell ref="G7:G8"/>
    <mergeCell ref="F35:F36"/>
    <mergeCell ref="E7:E8"/>
    <mergeCell ref="D13:D14"/>
    <mergeCell ref="E11:E12"/>
    <mergeCell ref="H7:H8"/>
    <mergeCell ref="H21:H22"/>
    <mergeCell ref="H13:H14"/>
    <mergeCell ref="H11:H12"/>
    <mergeCell ref="G21:G22"/>
    <mergeCell ref="H15:H16"/>
    <mergeCell ref="G15:G16"/>
    <mergeCell ref="G19:G20"/>
    <mergeCell ref="G13:G14"/>
    <mergeCell ref="G11:G12"/>
    <mergeCell ref="C75:C79"/>
    <mergeCell ref="E73:E74"/>
    <mergeCell ref="F73:F74"/>
    <mergeCell ref="G73:G74"/>
    <mergeCell ref="D73:D74"/>
    <mergeCell ref="H73:H74"/>
    <mergeCell ref="A71:A72"/>
    <mergeCell ref="B71:B72"/>
    <mergeCell ref="C71:C72"/>
    <mergeCell ref="D71:D72"/>
    <mergeCell ref="E71:E72"/>
    <mergeCell ref="G71:G72"/>
    <mergeCell ref="F71:F72"/>
    <mergeCell ref="H71:H72"/>
  </mergeCells>
  <printOptions/>
  <pageMargins left="0.7874015748031497" right="0.7874015748031497" top="0.7874015748031497" bottom="0.5118110236220472" header="0.35433070866141736" footer="0"/>
  <pageSetup firstPageNumber="3" useFirstPageNumber="1" fitToHeight="0" fitToWidth="1" horizontalDpi="600" verticalDpi="600" orientation="landscape" paperSize="9" scale="93" r:id="rId1"/>
  <headerFooter alignWithMargins="0">
    <oddFooter>&amp;CСтраница &amp;P</oddFooter>
  </headerFooter>
  <rowBreaks count="1" manualBreakCount="1">
    <brk id="4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377"/>
  <sheetViews>
    <sheetView view="pageBreakPreview" zoomScaleSheetLayoutView="100" zoomScalePageLayoutView="0" workbookViewId="0" topLeftCell="A1">
      <selection activeCell="O1" sqref="O1:X16384"/>
    </sheetView>
  </sheetViews>
  <sheetFormatPr defaultColWidth="9.00390625" defaultRowHeight="12.75"/>
  <cols>
    <col min="1" max="1" width="4.25390625" style="0" customWidth="1"/>
    <col min="2" max="2" width="11.00390625" style="53" customWidth="1"/>
    <col min="3" max="3" width="36.375" style="0" customWidth="1"/>
    <col min="4" max="4" width="9.25390625" style="0" customWidth="1"/>
    <col min="5" max="5" width="9.25390625" style="93" customWidth="1"/>
    <col min="6" max="6" width="9.375" style="0" customWidth="1"/>
    <col min="7" max="7" width="8.875" style="0" customWidth="1"/>
    <col min="8" max="8" width="8.625" style="0" customWidth="1"/>
    <col min="9" max="9" width="7.00390625" style="0" bestFit="1" customWidth="1"/>
    <col min="10" max="10" width="7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7.125" style="0" customWidth="1"/>
  </cols>
  <sheetData>
    <row r="1" spans="1:14" s="19" customFormat="1" ht="12.75">
      <c r="A1" s="1289" t="s">
        <v>3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</row>
    <row r="2" spans="1:14" s="19" customFormat="1" ht="32.25" customHeight="1">
      <c r="A2" s="1342" t="s">
        <v>1518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</row>
    <row r="3" ht="6.75" customHeight="1" thickBot="1"/>
    <row r="4" spans="1:14" s="266" customFormat="1" ht="12" customHeight="1" thickBot="1">
      <c r="A4" s="1299" t="s">
        <v>9</v>
      </c>
      <c r="B4" s="1281" t="s">
        <v>735</v>
      </c>
      <c r="C4" s="1278" t="s">
        <v>455</v>
      </c>
      <c r="D4" s="1281" t="s">
        <v>231</v>
      </c>
      <c r="E4" s="1292" t="s">
        <v>622</v>
      </c>
      <c r="F4" s="1281" t="s">
        <v>623</v>
      </c>
      <c r="G4" s="1278" t="s">
        <v>4</v>
      </c>
      <c r="H4" s="1278"/>
      <c r="I4" s="1299" t="s">
        <v>458</v>
      </c>
      <c r="J4" s="1278"/>
      <c r="K4" s="1175"/>
      <c r="L4" s="1318" t="s">
        <v>19</v>
      </c>
      <c r="M4" s="1241"/>
      <c r="N4" s="1319"/>
    </row>
    <row r="5" spans="1:14" s="266" customFormat="1" ht="13.5" customHeight="1" thickBot="1">
      <c r="A5" s="1316"/>
      <c r="B5" s="1295"/>
      <c r="C5" s="1300"/>
      <c r="D5" s="1282"/>
      <c r="E5" s="1293"/>
      <c r="F5" s="1295"/>
      <c r="G5" s="1281" t="s">
        <v>456</v>
      </c>
      <c r="H5" s="1286" t="s">
        <v>457</v>
      </c>
      <c r="I5" s="1297" t="s">
        <v>5</v>
      </c>
      <c r="J5" s="1279" t="s">
        <v>4</v>
      </c>
      <c r="K5" s="1280"/>
      <c r="L5" s="1297" t="s">
        <v>5</v>
      </c>
      <c r="M5" s="1239" t="s">
        <v>4</v>
      </c>
      <c r="N5" s="1319"/>
    </row>
    <row r="6" spans="1:14" s="266" customFormat="1" ht="13.5" customHeight="1" thickBot="1">
      <c r="A6" s="1316"/>
      <c r="B6" s="1295"/>
      <c r="C6" s="1300"/>
      <c r="D6" s="1282"/>
      <c r="E6" s="1293"/>
      <c r="F6" s="1295"/>
      <c r="G6" s="1282"/>
      <c r="H6" s="1346"/>
      <c r="I6" s="1344"/>
      <c r="J6" s="444" t="s">
        <v>6</v>
      </c>
      <c r="K6" s="445" t="s">
        <v>7</v>
      </c>
      <c r="L6" s="1344"/>
      <c r="M6" s="445" t="s">
        <v>6</v>
      </c>
      <c r="N6" s="445" t="s">
        <v>7</v>
      </c>
    </row>
    <row r="7" spans="1:14" s="266" customFormat="1" ht="12">
      <c r="A7" s="1228">
        <v>1</v>
      </c>
      <c r="B7" s="1189" t="s">
        <v>1203</v>
      </c>
      <c r="C7" s="1191" t="s">
        <v>76</v>
      </c>
      <c r="D7" s="1199" t="s">
        <v>626</v>
      </c>
      <c r="E7" s="1193" t="s">
        <v>1498</v>
      </c>
      <c r="F7" s="1189">
        <f>G7+H7</f>
        <v>77.2</v>
      </c>
      <c r="G7" s="1197">
        <v>77.2</v>
      </c>
      <c r="H7" s="1197">
        <v>0</v>
      </c>
      <c r="I7" s="502">
        <f aca="true" t="shared" si="0" ref="I7:I60">J7+K7</f>
        <v>4</v>
      </c>
      <c r="J7" s="503">
        <v>4</v>
      </c>
      <c r="K7" s="506">
        <v>0</v>
      </c>
      <c r="L7" s="502">
        <f aca="true" t="shared" si="1" ref="L7:L60">M7+N7</f>
        <v>77</v>
      </c>
      <c r="M7" s="503">
        <v>63</v>
      </c>
      <c r="N7" s="502">
        <v>14</v>
      </c>
    </row>
    <row r="8" spans="1:14" s="266" customFormat="1" ht="39.75" customHeight="1" thickBot="1">
      <c r="A8" s="1339"/>
      <c r="B8" s="1341"/>
      <c r="C8" s="1340"/>
      <c r="D8" s="1338"/>
      <c r="E8" s="1347"/>
      <c r="F8" s="1341"/>
      <c r="G8" s="1345"/>
      <c r="H8" s="1345"/>
      <c r="I8" s="847">
        <f t="shared" si="0"/>
        <v>122.88</v>
      </c>
      <c r="J8" s="507">
        <f>107.57+15.31</f>
        <v>122.88</v>
      </c>
      <c r="K8" s="848">
        <v>0</v>
      </c>
      <c r="L8" s="1103">
        <f t="shared" si="1"/>
        <v>1581</v>
      </c>
      <c r="M8" s="1102">
        <f>1361+7</f>
        <v>1368</v>
      </c>
      <c r="N8" s="848">
        <v>213</v>
      </c>
    </row>
    <row r="9" spans="1:14" s="266" customFormat="1" ht="12" customHeight="1" hidden="1" thickBot="1">
      <c r="A9" s="1339"/>
      <c r="B9" s="1189" t="s">
        <v>771</v>
      </c>
      <c r="C9" s="521" t="s">
        <v>449</v>
      </c>
      <c r="D9" s="522" t="s">
        <v>102</v>
      </c>
      <c r="E9" s="561"/>
      <c r="F9" s="524">
        <f>G9+H9</f>
        <v>77.2</v>
      </c>
      <c r="G9" s="524">
        <v>77.2</v>
      </c>
      <c r="H9" s="524"/>
      <c r="I9" s="860"/>
      <c r="J9" s="525"/>
      <c r="K9" s="512"/>
      <c r="L9" s="860"/>
      <c r="M9" s="861"/>
      <c r="N9" s="860"/>
    </row>
    <row r="10" spans="1:14" s="266" customFormat="1" ht="12" customHeight="1" hidden="1">
      <c r="A10" s="1229"/>
      <c r="B10" s="1190"/>
      <c r="C10" s="526"/>
      <c r="D10" s="527" t="s">
        <v>27</v>
      </c>
      <c r="E10" s="597"/>
      <c r="F10" s="529">
        <f>G10+H10</f>
        <v>0</v>
      </c>
      <c r="G10" s="529"/>
      <c r="H10" s="529">
        <v>0</v>
      </c>
      <c r="I10" s="827"/>
      <c r="J10" s="827"/>
      <c r="K10" s="827"/>
      <c r="L10" s="827"/>
      <c r="M10" s="827"/>
      <c r="N10" s="827"/>
    </row>
    <row r="11" spans="1:14" s="266" customFormat="1" ht="12">
      <c r="A11" s="1228">
        <v>2</v>
      </c>
      <c r="B11" s="1189" t="s">
        <v>779</v>
      </c>
      <c r="C11" s="1191" t="s">
        <v>77</v>
      </c>
      <c r="D11" s="1199" t="s">
        <v>102</v>
      </c>
      <c r="E11" s="1199" t="s">
        <v>704</v>
      </c>
      <c r="F11" s="1189">
        <f>G11+H11</f>
        <v>10.992</v>
      </c>
      <c r="G11" s="1186">
        <v>10.992</v>
      </c>
      <c r="H11" s="1197">
        <v>0</v>
      </c>
      <c r="I11" s="502">
        <f t="shared" si="0"/>
        <v>1</v>
      </c>
      <c r="J11" s="506">
        <v>1</v>
      </c>
      <c r="K11" s="504">
        <v>0</v>
      </c>
      <c r="L11" s="502">
        <f t="shared" si="1"/>
        <v>7</v>
      </c>
      <c r="M11" s="506">
        <v>7</v>
      </c>
      <c r="N11" s="502">
        <v>0</v>
      </c>
    </row>
    <row r="12" spans="1:14" s="266" customFormat="1" ht="12.75" thickBot="1">
      <c r="A12" s="1229"/>
      <c r="B12" s="1190"/>
      <c r="C12" s="1192"/>
      <c r="D12" s="1200"/>
      <c r="E12" s="1200"/>
      <c r="F12" s="1190"/>
      <c r="G12" s="1187"/>
      <c r="H12" s="1198"/>
      <c r="I12" s="827">
        <f t="shared" si="0"/>
        <v>26.83</v>
      </c>
      <c r="J12" s="871">
        <v>26.83</v>
      </c>
      <c r="K12" s="867">
        <v>0</v>
      </c>
      <c r="L12" s="827">
        <f t="shared" si="1"/>
        <v>140</v>
      </c>
      <c r="M12" s="871">
        <v>140</v>
      </c>
      <c r="N12" s="827">
        <v>0</v>
      </c>
    </row>
    <row r="13" spans="1:14" s="266" customFormat="1" ht="12">
      <c r="A13" s="1239">
        <v>3</v>
      </c>
      <c r="B13" s="1173" t="s">
        <v>780</v>
      </c>
      <c r="C13" s="1182" t="s">
        <v>78</v>
      </c>
      <c r="D13" s="1173" t="s">
        <v>511</v>
      </c>
      <c r="E13" s="1173" t="s">
        <v>1333</v>
      </c>
      <c r="F13" s="1184">
        <f>G13+H13</f>
        <v>59.857</v>
      </c>
      <c r="G13" s="1184">
        <f>G15+G16</f>
        <v>34.062</v>
      </c>
      <c r="H13" s="1184">
        <f>H15+H16</f>
        <v>25.795</v>
      </c>
      <c r="I13" s="644">
        <f t="shared" si="0"/>
        <v>0</v>
      </c>
      <c r="J13" s="645">
        <v>0</v>
      </c>
      <c r="K13" s="646">
        <v>0</v>
      </c>
      <c r="L13" s="644">
        <f t="shared" si="1"/>
        <v>51</v>
      </c>
      <c r="M13" s="645">
        <v>48</v>
      </c>
      <c r="N13" s="644">
        <v>3</v>
      </c>
    </row>
    <row r="14" spans="1:14" s="266" customFormat="1" ht="57.75" customHeight="1">
      <c r="A14" s="1307"/>
      <c r="B14" s="1166"/>
      <c r="C14" s="1332"/>
      <c r="D14" s="1331"/>
      <c r="E14" s="1331"/>
      <c r="F14" s="1162"/>
      <c r="G14" s="1162"/>
      <c r="H14" s="1162"/>
      <c r="I14" s="854">
        <f t="shared" si="0"/>
        <v>0</v>
      </c>
      <c r="J14" s="678">
        <v>0</v>
      </c>
      <c r="K14" s="875">
        <v>0</v>
      </c>
      <c r="L14" s="854">
        <f t="shared" si="1"/>
        <v>1013</v>
      </c>
      <c r="M14" s="678">
        <v>991</v>
      </c>
      <c r="N14" s="854">
        <v>22</v>
      </c>
    </row>
    <row r="15" spans="1:14" s="266" customFormat="1" ht="48">
      <c r="A15" s="1307"/>
      <c r="B15" s="1337"/>
      <c r="C15" s="679" t="s">
        <v>449</v>
      </c>
      <c r="D15" s="680" t="s">
        <v>102</v>
      </c>
      <c r="E15" s="681" t="s">
        <v>1332</v>
      </c>
      <c r="F15" s="682">
        <f>G15+H15</f>
        <v>38.317</v>
      </c>
      <c r="G15" s="682">
        <v>31.898</v>
      </c>
      <c r="H15" s="682">
        <v>6.419</v>
      </c>
      <c r="I15" s="831"/>
      <c r="J15" s="605"/>
      <c r="K15" s="606"/>
      <c r="L15" s="831"/>
      <c r="M15" s="605"/>
      <c r="N15" s="831"/>
    </row>
    <row r="16" spans="1:14" s="266" customFormat="1" ht="35.25" customHeight="1" thickBot="1">
      <c r="A16" s="1240"/>
      <c r="B16" s="1174"/>
      <c r="C16" s="608"/>
      <c r="D16" s="683" t="s">
        <v>27</v>
      </c>
      <c r="E16" s="684" t="s">
        <v>1334</v>
      </c>
      <c r="F16" s="685">
        <f>G16+H16</f>
        <v>21.540000000000003</v>
      </c>
      <c r="G16" s="685">
        <v>2.164</v>
      </c>
      <c r="H16" s="685">
        <v>19.376</v>
      </c>
      <c r="I16" s="824"/>
      <c r="J16" s="809"/>
      <c r="K16" s="824"/>
      <c r="L16" s="824"/>
      <c r="M16" s="809"/>
      <c r="N16" s="824"/>
    </row>
    <row r="17" spans="1:14" s="266" customFormat="1" ht="12">
      <c r="A17" s="1239">
        <v>4</v>
      </c>
      <c r="B17" s="1169" t="s">
        <v>781</v>
      </c>
      <c r="C17" s="1182" t="s">
        <v>79</v>
      </c>
      <c r="D17" s="1173" t="s">
        <v>27</v>
      </c>
      <c r="E17" s="1173" t="s">
        <v>1188</v>
      </c>
      <c r="F17" s="1169">
        <f>G17+H17</f>
        <v>29.714</v>
      </c>
      <c r="G17" s="1178">
        <v>1</v>
      </c>
      <c r="H17" s="1184">
        <v>28.714</v>
      </c>
      <c r="I17" s="644">
        <f t="shared" si="0"/>
        <v>0</v>
      </c>
      <c r="J17" s="645">
        <v>0</v>
      </c>
      <c r="K17" s="648">
        <v>0</v>
      </c>
      <c r="L17" s="644">
        <f t="shared" si="1"/>
        <v>31</v>
      </c>
      <c r="M17" s="645">
        <v>30</v>
      </c>
      <c r="N17" s="644">
        <v>1</v>
      </c>
    </row>
    <row r="18" spans="1:14" s="266" customFormat="1" ht="12.75" thickBot="1">
      <c r="A18" s="1240"/>
      <c r="B18" s="1170"/>
      <c r="C18" s="1183"/>
      <c r="D18" s="1174"/>
      <c r="E18" s="1174"/>
      <c r="F18" s="1170"/>
      <c r="G18" s="1179"/>
      <c r="H18" s="1185"/>
      <c r="I18" s="824">
        <f t="shared" si="0"/>
        <v>0</v>
      </c>
      <c r="J18" s="809">
        <v>0</v>
      </c>
      <c r="K18" s="611">
        <v>0</v>
      </c>
      <c r="L18" s="824">
        <f t="shared" si="1"/>
        <v>665</v>
      </c>
      <c r="M18" s="809">
        <v>653</v>
      </c>
      <c r="N18" s="824">
        <v>12</v>
      </c>
    </row>
    <row r="19" spans="1:14" s="266" customFormat="1" ht="12">
      <c r="A19" s="1239">
        <v>5</v>
      </c>
      <c r="B19" s="1169" t="s">
        <v>782</v>
      </c>
      <c r="C19" s="1182" t="s">
        <v>80</v>
      </c>
      <c r="D19" s="1173" t="s">
        <v>27</v>
      </c>
      <c r="E19" s="1173" t="s">
        <v>81</v>
      </c>
      <c r="F19" s="1169">
        <f>G19+H19</f>
        <v>2.4</v>
      </c>
      <c r="G19" s="1178">
        <v>0</v>
      </c>
      <c r="H19" s="1178">
        <v>2.4</v>
      </c>
      <c r="I19" s="644">
        <f t="shared" si="0"/>
        <v>0</v>
      </c>
      <c r="J19" s="648">
        <v>0</v>
      </c>
      <c r="K19" s="646">
        <v>0</v>
      </c>
      <c r="L19" s="644">
        <f t="shared" si="1"/>
        <v>3</v>
      </c>
      <c r="M19" s="648">
        <v>3</v>
      </c>
      <c r="N19" s="644">
        <v>0</v>
      </c>
    </row>
    <row r="20" spans="1:14" s="266" customFormat="1" ht="12.75" thickBot="1">
      <c r="A20" s="1240"/>
      <c r="B20" s="1170"/>
      <c r="C20" s="1183"/>
      <c r="D20" s="1174"/>
      <c r="E20" s="1174"/>
      <c r="F20" s="1170"/>
      <c r="G20" s="1179"/>
      <c r="H20" s="1179"/>
      <c r="I20" s="824">
        <f t="shared" si="0"/>
        <v>0</v>
      </c>
      <c r="J20" s="611">
        <v>0</v>
      </c>
      <c r="K20" s="853">
        <v>0</v>
      </c>
      <c r="L20" s="824">
        <f t="shared" si="1"/>
        <v>55</v>
      </c>
      <c r="M20" s="611">
        <v>55</v>
      </c>
      <c r="N20" s="824">
        <v>0</v>
      </c>
    </row>
    <row r="21" spans="1:14" s="266" customFormat="1" ht="12">
      <c r="A21" s="1239">
        <v>6</v>
      </c>
      <c r="B21" s="1169" t="s">
        <v>783</v>
      </c>
      <c r="C21" s="1182" t="s">
        <v>82</v>
      </c>
      <c r="D21" s="1173" t="s">
        <v>27</v>
      </c>
      <c r="E21" s="1173" t="s">
        <v>250</v>
      </c>
      <c r="F21" s="1169">
        <f>G21+H21</f>
        <v>0.9</v>
      </c>
      <c r="G21" s="1178">
        <v>0</v>
      </c>
      <c r="H21" s="1178">
        <v>0.9</v>
      </c>
      <c r="I21" s="644">
        <f t="shared" si="0"/>
        <v>0</v>
      </c>
      <c r="J21" s="645">
        <v>0</v>
      </c>
      <c r="K21" s="646">
        <v>0</v>
      </c>
      <c r="L21" s="644">
        <f t="shared" si="1"/>
        <v>3</v>
      </c>
      <c r="M21" s="645">
        <v>2</v>
      </c>
      <c r="N21" s="644">
        <v>1</v>
      </c>
    </row>
    <row r="22" spans="1:14" s="266" customFormat="1" ht="12.75" thickBot="1">
      <c r="A22" s="1240"/>
      <c r="B22" s="1170"/>
      <c r="C22" s="1183"/>
      <c r="D22" s="1174"/>
      <c r="E22" s="1174"/>
      <c r="F22" s="1170"/>
      <c r="G22" s="1179"/>
      <c r="H22" s="1179"/>
      <c r="I22" s="824">
        <f t="shared" si="0"/>
        <v>0</v>
      </c>
      <c r="J22" s="809">
        <v>0</v>
      </c>
      <c r="K22" s="853">
        <v>0</v>
      </c>
      <c r="L22" s="824">
        <f t="shared" si="1"/>
        <v>46</v>
      </c>
      <c r="M22" s="809">
        <v>36</v>
      </c>
      <c r="N22" s="824">
        <v>10</v>
      </c>
    </row>
    <row r="23" spans="1:14" s="266" customFormat="1" ht="12">
      <c r="A23" s="1239">
        <v>7</v>
      </c>
      <c r="B23" s="1169" t="s">
        <v>784</v>
      </c>
      <c r="C23" s="1182" t="s">
        <v>83</v>
      </c>
      <c r="D23" s="1173" t="s">
        <v>27</v>
      </c>
      <c r="E23" s="1173" t="s">
        <v>602</v>
      </c>
      <c r="F23" s="1169">
        <f>G23+H23</f>
        <v>1.19</v>
      </c>
      <c r="G23" s="1169">
        <v>0</v>
      </c>
      <c r="H23" s="1169">
        <v>1.19</v>
      </c>
      <c r="I23" s="644">
        <f t="shared" si="0"/>
        <v>0</v>
      </c>
      <c r="J23" s="648">
        <v>0</v>
      </c>
      <c r="K23" s="646">
        <v>0</v>
      </c>
      <c r="L23" s="644">
        <f t="shared" si="1"/>
        <v>4</v>
      </c>
      <c r="M23" s="648">
        <v>3</v>
      </c>
      <c r="N23" s="644">
        <v>1</v>
      </c>
    </row>
    <row r="24" spans="1:14" s="266" customFormat="1" ht="12.75" thickBot="1">
      <c r="A24" s="1240"/>
      <c r="B24" s="1170"/>
      <c r="C24" s="1183"/>
      <c r="D24" s="1174"/>
      <c r="E24" s="1174"/>
      <c r="F24" s="1170"/>
      <c r="G24" s="1170"/>
      <c r="H24" s="1170"/>
      <c r="I24" s="824">
        <f t="shared" si="0"/>
        <v>0</v>
      </c>
      <c r="J24" s="611">
        <v>0</v>
      </c>
      <c r="K24" s="853">
        <v>0</v>
      </c>
      <c r="L24" s="824">
        <f t="shared" si="1"/>
        <v>74</v>
      </c>
      <c r="M24" s="611">
        <v>51</v>
      </c>
      <c r="N24" s="824">
        <v>23</v>
      </c>
    </row>
    <row r="25" spans="1:14" s="266" customFormat="1" ht="12">
      <c r="A25" s="1239">
        <v>8</v>
      </c>
      <c r="B25" s="1169" t="s">
        <v>785</v>
      </c>
      <c r="C25" s="1182" t="s">
        <v>84</v>
      </c>
      <c r="D25" s="1173" t="s">
        <v>27</v>
      </c>
      <c r="E25" s="1173" t="s">
        <v>603</v>
      </c>
      <c r="F25" s="1178">
        <f>G25+H25</f>
        <v>1.41</v>
      </c>
      <c r="G25" s="1178">
        <v>1.41</v>
      </c>
      <c r="H25" s="1178">
        <v>0</v>
      </c>
      <c r="I25" s="644">
        <f t="shared" si="0"/>
        <v>0</v>
      </c>
      <c r="J25" s="645">
        <v>0</v>
      </c>
      <c r="K25" s="646">
        <v>0</v>
      </c>
      <c r="L25" s="644">
        <f t="shared" si="1"/>
        <v>1</v>
      </c>
      <c r="M25" s="645">
        <v>1</v>
      </c>
      <c r="N25" s="644">
        <v>0</v>
      </c>
    </row>
    <row r="26" spans="1:14" s="266" customFormat="1" ht="12.75" thickBot="1">
      <c r="A26" s="1240"/>
      <c r="B26" s="1170"/>
      <c r="C26" s="1183"/>
      <c r="D26" s="1174"/>
      <c r="E26" s="1174"/>
      <c r="F26" s="1179"/>
      <c r="G26" s="1179"/>
      <c r="H26" s="1179"/>
      <c r="I26" s="824">
        <f t="shared" si="0"/>
        <v>0</v>
      </c>
      <c r="J26" s="809">
        <v>0</v>
      </c>
      <c r="K26" s="853">
        <v>0</v>
      </c>
      <c r="L26" s="824">
        <f>M26+N26</f>
        <v>16</v>
      </c>
      <c r="M26" s="809">
        <v>16</v>
      </c>
      <c r="N26" s="824">
        <v>0</v>
      </c>
    </row>
    <row r="27" spans="1:14" s="266" customFormat="1" ht="12">
      <c r="A27" s="1239">
        <v>9</v>
      </c>
      <c r="B27" s="1169" t="s">
        <v>786</v>
      </c>
      <c r="C27" s="1232" t="s">
        <v>85</v>
      </c>
      <c r="D27" s="1173" t="s">
        <v>27</v>
      </c>
      <c r="E27" s="1173" t="s">
        <v>86</v>
      </c>
      <c r="F27" s="1178">
        <f>G27+H27</f>
        <v>5.4</v>
      </c>
      <c r="G27" s="1178">
        <v>0</v>
      </c>
      <c r="H27" s="1178">
        <v>5.4</v>
      </c>
      <c r="I27" s="644">
        <f t="shared" si="0"/>
        <v>0</v>
      </c>
      <c r="J27" s="645">
        <v>0</v>
      </c>
      <c r="K27" s="646">
        <v>0</v>
      </c>
      <c r="L27" s="644">
        <f t="shared" si="1"/>
        <v>5</v>
      </c>
      <c r="M27" s="645">
        <v>4</v>
      </c>
      <c r="N27" s="644">
        <v>1</v>
      </c>
    </row>
    <row r="28" spans="1:14" s="266" customFormat="1" ht="12.75" thickBot="1">
      <c r="A28" s="1240"/>
      <c r="B28" s="1170"/>
      <c r="C28" s="1233"/>
      <c r="D28" s="1174"/>
      <c r="E28" s="1174"/>
      <c r="F28" s="1179"/>
      <c r="G28" s="1179"/>
      <c r="H28" s="1179"/>
      <c r="I28" s="824">
        <f t="shared" si="0"/>
        <v>0</v>
      </c>
      <c r="J28" s="809">
        <v>0</v>
      </c>
      <c r="K28" s="853">
        <v>0</v>
      </c>
      <c r="L28" s="824">
        <f t="shared" si="1"/>
        <v>66</v>
      </c>
      <c r="M28" s="809">
        <v>56</v>
      </c>
      <c r="N28" s="824">
        <v>10</v>
      </c>
    </row>
    <row r="29" spans="1:14" s="266" customFormat="1" ht="12">
      <c r="A29" s="1239">
        <v>10</v>
      </c>
      <c r="B29" s="1169" t="s">
        <v>787</v>
      </c>
      <c r="C29" s="1232" t="s">
        <v>87</v>
      </c>
      <c r="D29" s="1173" t="s">
        <v>27</v>
      </c>
      <c r="E29" s="1173" t="s">
        <v>1189</v>
      </c>
      <c r="F29" s="1184">
        <f>G29+H29</f>
        <v>6.507</v>
      </c>
      <c r="G29" s="1178">
        <v>0</v>
      </c>
      <c r="H29" s="1184">
        <v>6.507</v>
      </c>
      <c r="I29" s="644">
        <f t="shared" si="0"/>
        <v>0</v>
      </c>
      <c r="J29" s="645">
        <v>0</v>
      </c>
      <c r="K29" s="646">
        <v>0</v>
      </c>
      <c r="L29" s="644">
        <f t="shared" si="1"/>
        <v>6</v>
      </c>
      <c r="M29" s="645">
        <v>4</v>
      </c>
      <c r="N29" s="644">
        <v>2</v>
      </c>
    </row>
    <row r="30" spans="1:14" s="266" customFormat="1" ht="12.75" thickBot="1">
      <c r="A30" s="1240"/>
      <c r="B30" s="1170"/>
      <c r="C30" s="1233"/>
      <c r="D30" s="1174"/>
      <c r="E30" s="1174"/>
      <c r="F30" s="1185"/>
      <c r="G30" s="1179"/>
      <c r="H30" s="1185"/>
      <c r="I30" s="824">
        <f t="shared" si="0"/>
        <v>0</v>
      </c>
      <c r="J30" s="809">
        <v>0</v>
      </c>
      <c r="K30" s="853">
        <v>0</v>
      </c>
      <c r="L30" s="824">
        <f t="shared" si="1"/>
        <v>78</v>
      </c>
      <c r="M30" s="809">
        <v>58</v>
      </c>
      <c r="N30" s="824">
        <v>20</v>
      </c>
    </row>
    <row r="31" spans="1:14" s="266" customFormat="1" ht="12">
      <c r="A31" s="1239">
        <v>11</v>
      </c>
      <c r="B31" s="1169" t="s">
        <v>788</v>
      </c>
      <c r="C31" s="1182" t="s">
        <v>89</v>
      </c>
      <c r="D31" s="1173" t="s">
        <v>49</v>
      </c>
      <c r="E31" s="1173" t="s">
        <v>1291</v>
      </c>
      <c r="F31" s="1184">
        <f>G31+H31</f>
        <v>10.159</v>
      </c>
      <c r="G31" s="1178">
        <v>0</v>
      </c>
      <c r="H31" s="1184">
        <v>10.159</v>
      </c>
      <c r="I31" s="644">
        <f>J31+K31</f>
        <v>0</v>
      </c>
      <c r="J31" s="645">
        <v>0</v>
      </c>
      <c r="K31" s="646">
        <v>0</v>
      </c>
      <c r="L31" s="644">
        <f t="shared" si="1"/>
        <v>6</v>
      </c>
      <c r="M31" s="645">
        <v>6</v>
      </c>
      <c r="N31" s="644">
        <v>0</v>
      </c>
    </row>
    <row r="32" spans="1:14" s="266" customFormat="1" ht="12.75" thickBot="1">
      <c r="A32" s="1240"/>
      <c r="B32" s="1170"/>
      <c r="C32" s="1183"/>
      <c r="D32" s="1174"/>
      <c r="E32" s="1174"/>
      <c r="F32" s="1185"/>
      <c r="G32" s="1179"/>
      <c r="H32" s="1185"/>
      <c r="I32" s="824">
        <f t="shared" si="0"/>
        <v>0</v>
      </c>
      <c r="J32" s="809">
        <v>0</v>
      </c>
      <c r="K32" s="853">
        <v>0</v>
      </c>
      <c r="L32" s="824">
        <f t="shared" si="1"/>
        <v>61</v>
      </c>
      <c r="M32" s="809">
        <v>61</v>
      </c>
      <c r="N32" s="824">
        <v>0</v>
      </c>
    </row>
    <row r="33" spans="1:14" s="266" customFormat="1" ht="12">
      <c r="A33" s="1239">
        <v>12</v>
      </c>
      <c r="B33" s="1169" t="s">
        <v>789</v>
      </c>
      <c r="C33" s="1182" t="s">
        <v>90</v>
      </c>
      <c r="D33" s="1173" t="s">
        <v>49</v>
      </c>
      <c r="E33" s="1173" t="s">
        <v>1292</v>
      </c>
      <c r="F33" s="1184">
        <f>G33+H33</f>
        <v>7.701</v>
      </c>
      <c r="G33" s="1178">
        <v>0</v>
      </c>
      <c r="H33" s="1184">
        <v>7.701</v>
      </c>
      <c r="I33" s="644">
        <f t="shared" si="0"/>
        <v>0</v>
      </c>
      <c r="J33" s="645">
        <v>0</v>
      </c>
      <c r="K33" s="646">
        <v>0</v>
      </c>
      <c r="L33" s="644">
        <f t="shared" si="1"/>
        <v>6</v>
      </c>
      <c r="M33" s="645">
        <v>0</v>
      </c>
      <c r="N33" s="644">
        <v>6</v>
      </c>
    </row>
    <row r="34" spans="1:14" s="266" customFormat="1" ht="12.75" thickBot="1">
      <c r="A34" s="1240"/>
      <c r="B34" s="1170"/>
      <c r="C34" s="1183"/>
      <c r="D34" s="1174"/>
      <c r="E34" s="1174"/>
      <c r="F34" s="1185"/>
      <c r="G34" s="1179"/>
      <c r="H34" s="1185"/>
      <c r="I34" s="824">
        <f t="shared" si="0"/>
        <v>0</v>
      </c>
      <c r="J34" s="809">
        <v>0</v>
      </c>
      <c r="K34" s="853">
        <v>0</v>
      </c>
      <c r="L34" s="824">
        <f t="shared" si="1"/>
        <v>66</v>
      </c>
      <c r="M34" s="809">
        <v>0</v>
      </c>
      <c r="N34" s="824">
        <v>66</v>
      </c>
    </row>
    <row r="35" spans="1:14" s="266" customFormat="1" ht="12">
      <c r="A35" s="1239">
        <v>13</v>
      </c>
      <c r="B35" s="1169" t="s">
        <v>790</v>
      </c>
      <c r="C35" s="1182" t="s">
        <v>230</v>
      </c>
      <c r="D35" s="1173" t="s">
        <v>102</v>
      </c>
      <c r="E35" s="1173" t="s">
        <v>1297</v>
      </c>
      <c r="F35" s="1184">
        <f>G35+H35</f>
        <v>1.313</v>
      </c>
      <c r="G35" s="1184">
        <v>1.313</v>
      </c>
      <c r="H35" s="1178">
        <v>0</v>
      </c>
      <c r="I35" s="644">
        <f t="shared" si="0"/>
        <v>0</v>
      </c>
      <c r="J35" s="645">
        <v>0</v>
      </c>
      <c r="K35" s="646">
        <v>0</v>
      </c>
      <c r="L35" s="644">
        <f t="shared" si="1"/>
        <v>1</v>
      </c>
      <c r="M35" s="645">
        <v>1</v>
      </c>
      <c r="N35" s="644">
        <v>0</v>
      </c>
    </row>
    <row r="36" spans="1:14" s="266" customFormat="1" ht="12.75" thickBot="1">
      <c r="A36" s="1240"/>
      <c r="B36" s="1170"/>
      <c r="C36" s="1183"/>
      <c r="D36" s="1174"/>
      <c r="E36" s="1174"/>
      <c r="F36" s="1185"/>
      <c r="G36" s="1185"/>
      <c r="H36" s="1179"/>
      <c r="I36" s="824">
        <f t="shared" si="0"/>
        <v>0</v>
      </c>
      <c r="J36" s="809">
        <v>0</v>
      </c>
      <c r="K36" s="853">
        <v>0</v>
      </c>
      <c r="L36" s="824">
        <f t="shared" si="1"/>
        <v>20</v>
      </c>
      <c r="M36" s="809">
        <v>20</v>
      </c>
      <c r="N36" s="824">
        <v>0</v>
      </c>
    </row>
    <row r="37" spans="1:14" s="266" customFormat="1" ht="12">
      <c r="A37" s="1239">
        <v>14</v>
      </c>
      <c r="B37" s="1169" t="s">
        <v>791</v>
      </c>
      <c r="C37" s="1182" t="s">
        <v>91</v>
      </c>
      <c r="D37" s="1173" t="s">
        <v>49</v>
      </c>
      <c r="E37" s="1173" t="s">
        <v>1293</v>
      </c>
      <c r="F37" s="1184">
        <f>G37+H37</f>
        <v>7.366</v>
      </c>
      <c r="G37" s="1178">
        <v>0</v>
      </c>
      <c r="H37" s="1184">
        <v>7.366</v>
      </c>
      <c r="I37" s="644">
        <f t="shared" si="0"/>
        <v>0</v>
      </c>
      <c r="J37" s="645">
        <v>0</v>
      </c>
      <c r="K37" s="646">
        <v>0</v>
      </c>
      <c r="L37" s="644">
        <f t="shared" si="1"/>
        <v>7</v>
      </c>
      <c r="M37" s="645">
        <v>2</v>
      </c>
      <c r="N37" s="644">
        <v>5</v>
      </c>
    </row>
    <row r="38" spans="1:14" s="266" customFormat="1" ht="12.75" thickBot="1">
      <c r="A38" s="1240"/>
      <c r="B38" s="1170"/>
      <c r="C38" s="1183"/>
      <c r="D38" s="1174"/>
      <c r="E38" s="1174"/>
      <c r="F38" s="1185"/>
      <c r="G38" s="1179"/>
      <c r="H38" s="1185"/>
      <c r="I38" s="824">
        <f t="shared" si="0"/>
        <v>0</v>
      </c>
      <c r="J38" s="809">
        <v>0</v>
      </c>
      <c r="K38" s="853">
        <v>0</v>
      </c>
      <c r="L38" s="824">
        <f t="shared" si="1"/>
        <v>119</v>
      </c>
      <c r="M38" s="809">
        <v>28</v>
      </c>
      <c r="N38" s="824">
        <v>91</v>
      </c>
    </row>
    <row r="39" spans="1:14" s="266" customFormat="1" ht="12">
      <c r="A39" s="1239">
        <v>15</v>
      </c>
      <c r="B39" s="1169" t="s">
        <v>792</v>
      </c>
      <c r="C39" s="1182" t="s">
        <v>420</v>
      </c>
      <c r="D39" s="1173" t="s">
        <v>27</v>
      </c>
      <c r="E39" s="1173" t="s">
        <v>1298</v>
      </c>
      <c r="F39" s="1184">
        <f>G39+H39</f>
        <v>18.262</v>
      </c>
      <c r="G39" s="1184">
        <v>4.725</v>
      </c>
      <c r="H39" s="1184">
        <v>13.537</v>
      </c>
      <c r="I39" s="644">
        <f t="shared" si="0"/>
        <v>1</v>
      </c>
      <c r="J39" s="645">
        <v>1</v>
      </c>
      <c r="K39" s="646">
        <v>0</v>
      </c>
      <c r="L39" s="644">
        <f t="shared" si="1"/>
        <v>15</v>
      </c>
      <c r="M39" s="645">
        <v>10</v>
      </c>
      <c r="N39" s="644">
        <v>5</v>
      </c>
    </row>
    <row r="40" spans="1:14" s="266" customFormat="1" ht="12.75" thickBot="1">
      <c r="A40" s="1240"/>
      <c r="B40" s="1170"/>
      <c r="C40" s="1183"/>
      <c r="D40" s="1174"/>
      <c r="E40" s="1174"/>
      <c r="F40" s="1185"/>
      <c r="G40" s="1185"/>
      <c r="H40" s="1185"/>
      <c r="I40" s="825">
        <f t="shared" si="0"/>
        <v>50.1</v>
      </c>
      <c r="J40" s="650">
        <v>50.1</v>
      </c>
      <c r="K40" s="853">
        <v>0</v>
      </c>
      <c r="L40" s="824">
        <f t="shared" si="1"/>
        <v>188</v>
      </c>
      <c r="M40" s="809">
        <v>127</v>
      </c>
      <c r="N40" s="824">
        <v>61</v>
      </c>
    </row>
    <row r="41" spans="1:14" s="266" customFormat="1" ht="12">
      <c r="A41" s="1239">
        <v>16</v>
      </c>
      <c r="B41" s="1169" t="s">
        <v>793</v>
      </c>
      <c r="C41" s="1182" t="s">
        <v>93</v>
      </c>
      <c r="D41" s="1173" t="s">
        <v>27</v>
      </c>
      <c r="E41" s="1173" t="s">
        <v>1358</v>
      </c>
      <c r="F41" s="1184">
        <f>G41+H41</f>
        <v>20.135</v>
      </c>
      <c r="G41" s="1178">
        <v>0</v>
      </c>
      <c r="H41" s="1184">
        <v>20.135</v>
      </c>
      <c r="I41" s="644">
        <f t="shared" si="0"/>
        <v>0</v>
      </c>
      <c r="J41" s="645">
        <v>0</v>
      </c>
      <c r="K41" s="646">
        <v>0</v>
      </c>
      <c r="L41" s="644">
        <f t="shared" si="1"/>
        <v>10</v>
      </c>
      <c r="M41" s="645">
        <v>10</v>
      </c>
      <c r="N41" s="644">
        <v>0</v>
      </c>
    </row>
    <row r="42" spans="1:14" s="266" customFormat="1" ht="12.75" thickBot="1">
      <c r="A42" s="1240"/>
      <c r="B42" s="1170"/>
      <c r="C42" s="1183"/>
      <c r="D42" s="1174"/>
      <c r="E42" s="1174"/>
      <c r="F42" s="1185"/>
      <c r="G42" s="1179"/>
      <c r="H42" s="1185"/>
      <c r="I42" s="824">
        <f t="shared" si="0"/>
        <v>0</v>
      </c>
      <c r="J42" s="809">
        <v>0</v>
      </c>
      <c r="K42" s="853">
        <v>0</v>
      </c>
      <c r="L42" s="824">
        <f t="shared" si="1"/>
        <v>185</v>
      </c>
      <c r="M42" s="809">
        <v>185</v>
      </c>
      <c r="N42" s="824">
        <v>0</v>
      </c>
    </row>
    <row r="43" spans="1:14" s="266" customFormat="1" ht="12">
      <c r="A43" s="1239">
        <v>17</v>
      </c>
      <c r="B43" s="1334" t="s">
        <v>794</v>
      </c>
      <c r="C43" s="1182" t="s">
        <v>94</v>
      </c>
      <c r="D43" s="1230" t="s">
        <v>625</v>
      </c>
      <c r="E43" s="1173" t="s">
        <v>1326</v>
      </c>
      <c r="F43" s="1184">
        <f>G43+H43</f>
        <v>8.353</v>
      </c>
      <c r="G43" s="1184">
        <v>5.6</v>
      </c>
      <c r="H43" s="1184">
        <v>2.753</v>
      </c>
      <c r="I43" s="644">
        <f t="shared" si="0"/>
        <v>0</v>
      </c>
      <c r="J43" s="645">
        <v>0</v>
      </c>
      <c r="K43" s="646">
        <v>0</v>
      </c>
      <c r="L43" s="644">
        <f t="shared" si="1"/>
        <v>9</v>
      </c>
      <c r="M43" s="645">
        <v>7</v>
      </c>
      <c r="N43" s="644">
        <v>2</v>
      </c>
    </row>
    <row r="44" spans="1:14" s="266" customFormat="1" ht="12">
      <c r="A44" s="1307"/>
      <c r="B44" s="1335"/>
      <c r="C44" s="1332"/>
      <c r="D44" s="1333"/>
      <c r="E44" s="1331"/>
      <c r="F44" s="1162"/>
      <c r="G44" s="1162"/>
      <c r="H44" s="1162"/>
      <c r="I44" s="854">
        <f t="shared" si="0"/>
        <v>0</v>
      </c>
      <c r="J44" s="678">
        <v>0</v>
      </c>
      <c r="K44" s="875">
        <v>0</v>
      </c>
      <c r="L44" s="854">
        <f t="shared" si="1"/>
        <v>144</v>
      </c>
      <c r="M44" s="678">
        <v>116</v>
      </c>
      <c r="N44" s="854">
        <v>28</v>
      </c>
    </row>
    <row r="45" spans="1:14" s="266" customFormat="1" ht="12">
      <c r="A45" s="1307"/>
      <c r="B45" s="1335"/>
      <c r="C45" s="679" t="s">
        <v>449</v>
      </c>
      <c r="D45" s="680" t="s">
        <v>27</v>
      </c>
      <c r="E45" s="681" t="s">
        <v>1327</v>
      </c>
      <c r="F45" s="682">
        <f>G45+H45</f>
        <v>5.6</v>
      </c>
      <c r="G45" s="682">
        <v>5.6</v>
      </c>
      <c r="H45" s="686"/>
      <c r="I45" s="831"/>
      <c r="J45" s="605"/>
      <c r="K45" s="606"/>
      <c r="L45" s="831"/>
      <c r="M45" s="605"/>
      <c r="N45" s="831"/>
    </row>
    <row r="46" spans="1:14" s="266" customFormat="1" ht="12.75" thickBot="1">
      <c r="A46" s="1240"/>
      <c r="B46" s="1336"/>
      <c r="C46" s="608"/>
      <c r="D46" s="604" t="s">
        <v>49</v>
      </c>
      <c r="E46" s="684" t="s">
        <v>1492</v>
      </c>
      <c r="F46" s="685">
        <f>G46+H46</f>
        <v>2.753</v>
      </c>
      <c r="G46" s="687"/>
      <c r="H46" s="685">
        <v>2.753</v>
      </c>
      <c r="I46" s="824"/>
      <c r="J46" s="809"/>
      <c r="K46" s="824"/>
      <c r="L46" s="824"/>
      <c r="M46" s="809"/>
      <c r="N46" s="824"/>
    </row>
    <row r="47" spans="1:14" s="266" customFormat="1" ht="12">
      <c r="A47" s="1239">
        <v>18</v>
      </c>
      <c r="B47" s="1169" t="s">
        <v>795</v>
      </c>
      <c r="C47" s="1182" t="s">
        <v>96</v>
      </c>
      <c r="D47" s="1173" t="s">
        <v>27</v>
      </c>
      <c r="E47" s="1173" t="s">
        <v>1324</v>
      </c>
      <c r="F47" s="1169">
        <f>G47+H47</f>
        <v>0.675</v>
      </c>
      <c r="G47" s="1184">
        <v>0.675</v>
      </c>
      <c r="H47" s="1178">
        <v>0</v>
      </c>
      <c r="I47" s="644">
        <f t="shared" si="0"/>
        <v>0</v>
      </c>
      <c r="J47" s="645">
        <v>0</v>
      </c>
      <c r="K47" s="646">
        <v>0</v>
      </c>
      <c r="L47" s="644">
        <f t="shared" si="1"/>
        <v>1</v>
      </c>
      <c r="M47" s="645">
        <v>1</v>
      </c>
      <c r="N47" s="644">
        <v>0</v>
      </c>
    </row>
    <row r="48" spans="1:14" s="266" customFormat="1" ht="12.75" thickBot="1">
      <c r="A48" s="1240"/>
      <c r="B48" s="1170"/>
      <c r="C48" s="1183"/>
      <c r="D48" s="1174"/>
      <c r="E48" s="1174"/>
      <c r="F48" s="1170"/>
      <c r="G48" s="1185"/>
      <c r="H48" s="1179"/>
      <c r="I48" s="824">
        <f t="shared" si="0"/>
        <v>0</v>
      </c>
      <c r="J48" s="809">
        <v>0</v>
      </c>
      <c r="K48" s="853">
        <v>0</v>
      </c>
      <c r="L48" s="824">
        <f t="shared" si="1"/>
        <v>15</v>
      </c>
      <c r="M48" s="809">
        <v>15</v>
      </c>
      <c r="N48" s="824">
        <v>0</v>
      </c>
    </row>
    <row r="49" spans="1:14" s="266" customFormat="1" ht="12">
      <c r="A49" s="1239">
        <v>19</v>
      </c>
      <c r="B49" s="1169" t="s">
        <v>796</v>
      </c>
      <c r="C49" s="1182" t="s">
        <v>97</v>
      </c>
      <c r="D49" s="1173" t="s">
        <v>27</v>
      </c>
      <c r="E49" s="1173" t="s">
        <v>1325</v>
      </c>
      <c r="F49" s="1169">
        <f>G49+H49</f>
        <v>3.808</v>
      </c>
      <c r="G49" s="1184">
        <v>0.8</v>
      </c>
      <c r="H49" s="1184">
        <v>3.008</v>
      </c>
      <c r="I49" s="644">
        <f t="shared" si="0"/>
        <v>0</v>
      </c>
      <c r="J49" s="645">
        <v>0</v>
      </c>
      <c r="K49" s="646">
        <v>0</v>
      </c>
      <c r="L49" s="644">
        <f t="shared" si="1"/>
        <v>8</v>
      </c>
      <c r="M49" s="645">
        <v>8</v>
      </c>
      <c r="N49" s="644">
        <v>0</v>
      </c>
    </row>
    <row r="50" spans="1:14" s="266" customFormat="1" ht="12.75" thickBot="1">
      <c r="A50" s="1240"/>
      <c r="B50" s="1170"/>
      <c r="C50" s="1183"/>
      <c r="D50" s="1174"/>
      <c r="E50" s="1174"/>
      <c r="F50" s="1170"/>
      <c r="G50" s="1185"/>
      <c r="H50" s="1185"/>
      <c r="I50" s="824">
        <f t="shared" si="0"/>
        <v>0</v>
      </c>
      <c r="J50" s="809">
        <v>0</v>
      </c>
      <c r="K50" s="853">
        <v>0</v>
      </c>
      <c r="L50" s="824">
        <f t="shared" si="1"/>
        <v>125</v>
      </c>
      <c r="M50" s="809">
        <v>125</v>
      </c>
      <c r="N50" s="824">
        <v>0</v>
      </c>
    </row>
    <row r="51" spans="1:14" s="266" customFormat="1" ht="12">
      <c r="A51" s="1239">
        <v>20</v>
      </c>
      <c r="B51" s="1169" t="s">
        <v>797</v>
      </c>
      <c r="C51" s="1182" t="s">
        <v>98</v>
      </c>
      <c r="D51" s="1173" t="s">
        <v>49</v>
      </c>
      <c r="E51" s="1173" t="s">
        <v>1261</v>
      </c>
      <c r="F51" s="1169">
        <f>G51+H51</f>
        <v>0.78</v>
      </c>
      <c r="G51" s="1178">
        <v>0</v>
      </c>
      <c r="H51" s="1178">
        <v>0.78</v>
      </c>
      <c r="I51" s="644">
        <f t="shared" si="0"/>
        <v>0</v>
      </c>
      <c r="J51" s="645">
        <v>0</v>
      </c>
      <c r="K51" s="646">
        <v>0</v>
      </c>
      <c r="L51" s="644">
        <f t="shared" si="1"/>
        <v>1</v>
      </c>
      <c r="M51" s="645">
        <v>1</v>
      </c>
      <c r="N51" s="644">
        <v>0</v>
      </c>
    </row>
    <row r="52" spans="1:14" s="266" customFormat="1" ht="15" customHeight="1" thickBot="1">
      <c r="A52" s="1240"/>
      <c r="B52" s="1170"/>
      <c r="C52" s="1183"/>
      <c r="D52" s="1174"/>
      <c r="E52" s="1174"/>
      <c r="F52" s="1170"/>
      <c r="G52" s="1179"/>
      <c r="H52" s="1179"/>
      <c r="I52" s="824">
        <f t="shared" si="0"/>
        <v>0</v>
      </c>
      <c r="J52" s="809">
        <v>0</v>
      </c>
      <c r="K52" s="853">
        <v>0</v>
      </c>
      <c r="L52" s="824">
        <f t="shared" si="1"/>
        <v>10</v>
      </c>
      <c r="M52" s="809">
        <v>10</v>
      </c>
      <c r="N52" s="824">
        <v>0</v>
      </c>
    </row>
    <row r="53" spans="1:14" s="266" customFormat="1" ht="12.75" hidden="1" thickBot="1">
      <c r="A53" s="446">
        <v>21</v>
      </c>
      <c r="B53" s="688"/>
      <c r="C53" s="689"/>
      <c r="D53" s="690"/>
      <c r="E53" s="832"/>
      <c r="F53" s="831">
        <f>G53+H53</f>
        <v>0</v>
      </c>
      <c r="G53" s="829"/>
      <c r="H53" s="829"/>
      <c r="I53" s="831">
        <f t="shared" si="0"/>
        <v>0</v>
      </c>
      <c r="J53" s="831"/>
      <c r="K53" s="831"/>
      <c r="L53" s="854">
        <f t="shared" si="1"/>
        <v>0</v>
      </c>
      <c r="M53" s="831"/>
      <c r="N53" s="831"/>
    </row>
    <row r="54" spans="1:14" s="266" customFormat="1" ht="12.75" hidden="1" thickBot="1">
      <c r="A54" s="447"/>
      <c r="B54" s="691"/>
      <c r="C54" s="692"/>
      <c r="D54" s="693"/>
      <c r="E54" s="850"/>
      <c r="F54" s="854"/>
      <c r="G54" s="865"/>
      <c r="H54" s="865"/>
      <c r="I54" s="873">
        <f t="shared" si="0"/>
        <v>0</v>
      </c>
      <c r="J54" s="854"/>
      <c r="K54" s="854"/>
      <c r="L54" s="873">
        <f t="shared" si="1"/>
        <v>0</v>
      </c>
      <c r="M54" s="854"/>
      <c r="N54" s="831"/>
    </row>
    <row r="55" spans="1:14" s="266" customFormat="1" ht="12.75" hidden="1" thickBot="1">
      <c r="A55" s="448">
        <v>22</v>
      </c>
      <c r="B55" s="694"/>
      <c r="C55" s="695"/>
      <c r="D55" s="695"/>
      <c r="E55" s="872"/>
      <c r="F55" s="855">
        <f>G55+H55</f>
        <v>0</v>
      </c>
      <c r="G55" s="877"/>
      <c r="H55" s="877"/>
      <c r="I55" s="873">
        <f t="shared" si="0"/>
        <v>0</v>
      </c>
      <c r="J55" s="855"/>
      <c r="K55" s="855"/>
      <c r="L55" s="831">
        <f t="shared" si="1"/>
        <v>0</v>
      </c>
      <c r="M55" s="855"/>
      <c r="N55" s="855"/>
    </row>
    <row r="56" spans="1:14" s="266" customFormat="1" ht="12.75" hidden="1" thickBot="1">
      <c r="A56" s="447"/>
      <c r="B56" s="691"/>
      <c r="C56" s="693"/>
      <c r="D56" s="693"/>
      <c r="E56" s="850"/>
      <c r="F56" s="854"/>
      <c r="G56" s="865"/>
      <c r="H56" s="865"/>
      <c r="I56" s="873">
        <f t="shared" si="0"/>
        <v>0</v>
      </c>
      <c r="J56" s="854"/>
      <c r="K56" s="854"/>
      <c r="L56" s="873">
        <f t="shared" si="1"/>
        <v>0</v>
      </c>
      <c r="M56" s="854"/>
      <c r="N56" s="854"/>
    </row>
    <row r="57" spans="1:14" s="266" customFormat="1" ht="12.75" hidden="1" thickBot="1">
      <c r="A57" s="448">
        <v>22</v>
      </c>
      <c r="B57" s="694"/>
      <c r="C57" s="695"/>
      <c r="D57" s="695"/>
      <c r="E57" s="872"/>
      <c r="F57" s="855">
        <f>G57+H57</f>
        <v>0</v>
      </c>
      <c r="G57" s="877"/>
      <c r="H57" s="877"/>
      <c r="I57" s="873">
        <f>J57+K57</f>
        <v>0</v>
      </c>
      <c r="J57" s="855"/>
      <c r="K57" s="855"/>
      <c r="L57" s="831">
        <f>M57+N57</f>
        <v>0</v>
      </c>
      <c r="M57" s="855"/>
      <c r="N57" s="855"/>
    </row>
    <row r="58" spans="1:14" s="266" customFormat="1" ht="12.75" hidden="1" thickBot="1">
      <c r="A58" s="447"/>
      <c r="B58" s="691"/>
      <c r="C58" s="693"/>
      <c r="D58" s="693"/>
      <c r="E58" s="850"/>
      <c r="F58" s="854"/>
      <c r="G58" s="865"/>
      <c r="H58" s="865"/>
      <c r="I58" s="873">
        <f>J58+K58</f>
        <v>0</v>
      </c>
      <c r="J58" s="854"/>
      <c r="K58" s="854"/>
      <c r="L58" s="873">
        <f>M58+N58</f>
        <v>0</v>
      </c>
      <c r="M58" s="854"/>
      <c r="N58" s="854"/>
    </row>
    <row r="59" spans="1:14" s="266" customFormat="1" ht="12.75" hidden="1" thickBot="1">
      <c r="A59" s="446">
        <v>23</v>
      </c>
      <c r="B59" s="688"/>
      <c r="C59" s="689"/>
      <c r="D59" s="695"/>
      <c r="E59" s="851"/>
      <c r="F59" s="831">
        <f>G59+H59</f>
        <v>0</v>
      </c>
      <c r="G59" s="829"/>
      <c r="H59" s="829"/>
      <c r="I59" s="873">
        <f t="shared" si="0"/>
        <v>0</v>
      </c>
      <c r="J59" s="831"/>
      <c r="K59" s="831"/>
      <c r="L59" s="873">
        <f t="shared" si="1"/>
        <v>0</v>
      </c>
      <c r="M59" s="831"/>
      <c r="N59" s="831"/>
    </row>
    <row r="60" spans="1:14" s="266" customFormat="1" ht="12.75" hidden="1" thickBot="1">
      <c r="A60" s="446"/>
      <c r="B60" s="688"/>
      <c r="C60" s="689"/>
      <c r="D60" s="690"/>
      <c r="E60" s="851"/>
      <c r="F60" s="831"/>
      <c r="G60" s="829"/>
      <c r="H60" s="829"/>
      <c r="I60" s="831">
        <f t="shared" si="0"/>
        <v>0</v>
      </c>
      <c r="J60" s="831"/>
      <c r="K60" s="831"/>
      <c r="L60" s="831">
        <f t="shared" si="1"/>
        <v>0</v>
      </c>
      <c r="M60" s="831"/>
      <c r="N60" s="831"/>
    </row>
    <row r="61" spans="1:14" s="272" customFormat="1" ht="12">
      <c r="A61" s="1269"/>
      <c r="B61" s="655"/>
      <c r="C61" s="1189" t="s">
        <v>229</v>
      </c>
      <c r="D61" s="1189"/>
      <c r="E61" s="1199"/>
      <c r="F61" s="1186">
        <f aca="true" t="shared" si="2" ref="F61:N61">F7+F11+F13+F17+F19+F21+F23+F25+F27+F29+F31+F33+F35+F37+F39+F41+F43+F47+F49+F51</f>
        <v>274.12199999999996</v>
      </c>
      <c r="G61" s="1186">
        <f t="shared" si="2"/>
        <v>137.77700000000002</v>
      </c>
      <c r="H61" s="1186">
        <f t="shared" si="2"/>
        <v>136.34500000000003</v>
      </c>
      <c r="I61" s="656">
        <f t="shared" si="2"/>
        <v>6</v>
      </c>
      <c r="J61" s="656">
        <f t="shared" si="2"/>
        <v>6</v>
      </c>
      <c r="K61" s="656">
        <f t="shared" si="2"/>
        <v>0</v>
      </c>
      <c r="L61" s="656">
        <f t="shared" si="2"/>
        <v>252</v>
      </c>
      <c r="M61" s="696">
        <f t="shared" si="2"/>
        <v>211</v>
      </c>
      <c r="N61" s="656">
        <f t="shared" si="2"/>
        <v>41</v>
      </c>
    </row>
    <row r="62" spans="1:14" s="272" customFormat="1" ht="12.75" thickBot="1">
      <c r="A62" s="1271"/>
      <c r="B62" s="657"/>
      <c r="C62" s="1190"/>
      <c r="D62" s="1190"/>
      <c r="E62" s="1200"/>
      <c r="F62" s="1187"/>
      <c r="G62" s="1187"/>
      <c r="H62" s="1187"/>
      <c r="I62" s="658">
        <f aca="true" t="shared" si="3" ref="I62:N62">I8+I12+I14+I18+I20+I22+I24+I26+I28+I30+I32+I34+I36+I38+I40+I42+I44+I48+I50+I52</f>
        <v>199.80999999999997</v>
      </c>
      <c r="J62" s="658">
        <f t="shared" si="3"/>
        <v>199.80999999999997</v>
      </c>
      <c r="K62" s="697">
        <f t="shared" si="3"/>
        <v>0</v>
      </c>
      <c r="L62" s="697">
        <f t="shared" si="3"/>
        <v>4667</v>
      </c>
      <c r="M62" s="698">
        <f t="shared" si="3"/>
        <v>4111</v>
      </c>
      <c r="N62" s="697">
        <f t="shared" si="3"/>
        <v>556</v>
      </c>
    </row>
    <row r="63" spans="1:8" s="392" customFormat="1" ht="12.75" hidden="1">
      <c r="A63" s="450"/>
      <c r="B63" s="450"/>
      <c r="C63" s="1329" t="s">
        <v>454</v>
      </c>
      <c r="D63" s="453" t="s">
        <v>450</v>
      </c>
      <c r="E63" s="598"/>
      <c r="F63" s="454">
        <f>SUMIF($D$7:$D$60,"=I",F7:F60)</f>
        <v>0</v>
      </c>
      <c r="G63" s="454">
        <f>SUMIF($D$7:$D$60,"=I",G7:G60)</f>
        <v>0</v>
      </c>
      <c r="H63" s="454">
        <f>SUMIF($D$7:$D$60,"=I",H7:H60)</f>
        <v>0</v>
      </c>
    </row>
    <row r="64" spans="1:8" s="392" customFormat="1" ht="12.75" hidden="1">
      <c r="A64" s="450"/>
      <c r="B64" s="450"/>
      <c r="C64" s="1330"/>
      <c r="D64" s="455" t="s">
        <v>100</v>
      </c>
      <c r="E64" s="599"/>
      <c r="F64" s="457">
        <f>SUMIF($D$7:$D$60,"=II",F7:F60)</f>
        <v>0</v>
      </c>
      <c r="G64" s="457">
        <f>SUMIF($D$7:$D$60,"=II",G7:G60)</f>
        <v>0</v>
      </c>
      <c r="H64" s="457">
        <f>SUMIF($D$7:$D$60,"=II",H7:H60)</f>
        <v>0</v>
      </c>
    </row>
    <row r="65" spans="1:8" s="392" customFormat="1" ht="12.75">
      <c r="A65" s="450"/>
      <c r="B65" s="450"/>
      <c r="C65" s="1330"/>
      <c r="D65" s="458" t="s">
        <v>102</v>
      </c>
      <c r="E65" s="599"/>
      <c r="F65" s="457">
        <f>SUMIF($D$7:$D$60,"=III",F7:F60)</f>
        <v>127.82200000000002</v>
      </c>
      <c r="G65" s="457">
        <f>SUMIF($D$7:$D$60,"=III",G7:G60)</f>
        <v>121.403</v>
      </c>
      <c r="H65" s="457">
        <f>SUMIF($D$7:$D$60,"=III",H7:H60)</f>
        <v>6.419</v>
      </c>
    </row>
    <row r="66" spans="1:8" s="392" customFormat="1" ht="12.75">
      <c r="A66" s="450"/>
      <c r="B66" s="450"/>
      <c r="C66" s="1330"/>
      <c r="D66" s="459" t="s">
        <v>27</v>
      </c>
      <c r="E66" s="600"/>
      <c r="F66" s="457">
        <f>SUMIF($D$7:$D$60,"=IV",F7:F60)</f>
        <v>117.541</v>
      </c>
      <c r="G66" s="457">
        <f>SUMIF($D$7:$D$60,"=IV",G7:G60)</f>
        <v>16.374</v>
      </c>
      <c r="H66" s="457">
        <f>SUMIF($D$7:$D$60,"=IV",H7:H60)</f>
        <v>101.167</v>
      </c>
    </row>
    <row r="67" spans="1:8" s="392" customFormat="1" ht="12.75">
      <c r="A67" s="451"/>
      <c r="B67" s="451"/>
      <c r="C67" s="1330"/>
      <c r="D67" s="459" t="s">
        <v>49</v>
      </c>
      <c r="E67" s="601"/>
      <c r="F67" s="457">
        <f>SUMIF($D$7:$D$60,"=V",F7:F60)</f>
        <v>28.759</v>
      </c>
      <c r="G67" s="457">
        <f>SUMIF($D$7:$D$60,"=V",G7:G60)</f>
        <v>0</v>
      </c>
      <c r="H67" s="457">
        <f>SUMIF($D$7:$D$60,"=V",H7:H60)</f>
        <v>28.759</v>
      </c>
    </row>
    <row r="68" spans="3:5" ht="12.75">
      <c r="C68" s="8"/>
      <c r="D68" s="8"/>
      <c r="E68" s="596"/>
    </row>
    <row r="69" spans="1:14" ht="12.75">
      <c r="A69" s="1"/>
      <c r="B69" s="1"/>
      <c r="C69" s="39"/>
      <c r="D69" s="39"/>
      <c r="E69" s="595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6"/>
      <c r="D70" s="6"/>
      <c r="E70" s="595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39"/>
      <c r="D71" s="39"/>
      <c r="E71" s="595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3"/>
      <c r="D72" s="3"/>
      <c r="E72" s="602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3"/>
      <c r="D73" s="3"/>
      <c r="E73" s="603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3"/>
      <c r="D74" s="3"/>
      <c r="E74" s="603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3"/>
      <c r="D75" s="3"/>
      <c r="E75" s="603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3"/>
      <c r="D76" s="3"/>
      <c r="E76" s="603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3"/>
      <c r="D77" s="3"/>
      <c r="E77" s="603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3"/>
      <c r="D78" s="3"/>
      <c r="E78" s="603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3"/>
      <c r="D79" s="3"/>
      <c r="E79" s="603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3"/>
      <c r="D80" s="3"/>
      <c r="E80" s="603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3"/>
      <c r="D81" s="3"/>
      <c r="E81" s="603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3"/>
      <c r="D82" s="3"/>
      <c r="E82" s="603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3"/>
      <c r="D83" s="3"/>
      <c r="E83" s="603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3"/>
      <c r="D84" s="3"/>
      <c r="E84" s="603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3"/>
      <c r="D85" s="3"/>
      <c r="E85" s="603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3"/>
      <c r="D86" s="3"/>
      <c r="E86" s="603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3"/>
      <c r="D87" s="3"/>
      <c r="E87" s="603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3"/>
      <c r="D88" s="3"/>
      <c r="E88" s="603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3"/>
      <c r="D89" s="3"/>
      <c r="E89" s="603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3"/>
      <c r="D90" s="3"/>
      <c r="E90" s="603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3"/>
      <c r="D91" s="3"/>
      <c r="E91" s="603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3"/>
      <c r="D92" s="3"/>
      <c r="E92" s="603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3"/>
      <c r="D93" s="3"/>
      <c r="E93" s="603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3"/>
      <c r="D94" s="3"/>
      <c r="E94" s="603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3"/>
      <c r="D95" s="3"/>
      <c r="E95" s="603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603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603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603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603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60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60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60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60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60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60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60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60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60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60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60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60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603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603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603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603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603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603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603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603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603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603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603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603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603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603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603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603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603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603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603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603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603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603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603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603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603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603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603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603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60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60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60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60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60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60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60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60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603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60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603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603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60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60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603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60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60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603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603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603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60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60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603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603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603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603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603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603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603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603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603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603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603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60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603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603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603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603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603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603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603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603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603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603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603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60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603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603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603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603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603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603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603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603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603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603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603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603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603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603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603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603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603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603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603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603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603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603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603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603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603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603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603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603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603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603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603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603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603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603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603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603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603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603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603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603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603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603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603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603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603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603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603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603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603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603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603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603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603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603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603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603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603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603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603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603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603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603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603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603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603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603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603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603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603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603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603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603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603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603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603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603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603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603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603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603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603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603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603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603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603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603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603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603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603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603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603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603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603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603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603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603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603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603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603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603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603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603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603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603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603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603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603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603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603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603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603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603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603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603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603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603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603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603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603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603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603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603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603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603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603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603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603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603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603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603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603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603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603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603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603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603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603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603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603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603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603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603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603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603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603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603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603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603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603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603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603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603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603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603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603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603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603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603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603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603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603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603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603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603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603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603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603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603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603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603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603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603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603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603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603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603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603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603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603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603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603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603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603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603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603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603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603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603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603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603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603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603"/>
      <c r="F377" s="1"/>
      <c r="G377" s="1"/>
      <c r="H377" s="1"/>
      <c r="I377" s="1"/>
      <c r="J377" s="1"/>
      <c r="K377" s="1"/>
      <c r="L377" s="1"/>
      <c r="M377" s="1"/>
      <c r="N377" s="1"/>
    </row>
  </sheetData>
  <sheetProtection/>
  <mergeCells count="186">
    <mergeCell ref="F17:F18"/>
    <mergeCell ref="G17:G18"/>
    <mergeCell ref="F13:F14"/>
    <mergeCell ref="F11:F12"/>
    <mergeCell ref="G11:G12"/>
    <mergeCell ref="H13:H14"/>
    <mergeCell ref="H17:H18"/>
    <mergeCell ref="L5:L6"/>
    <mergeCell ref="G4:H4"/>
    <mergeCell ref="L4:N4"/>
    <mergeCell ref="M5:N5"/>
    <mergeCell ref="I4:K4"/>
    <mergeCell ref="H11:H12"/>
    <mergeCell ref="G13:G14"/>
    <mergeCell ref="H7:H8"/>
    <mergeCell ref="F7:F8"/>
    <mergeCell ref="H5:H6"/>
    <mergeCell ref="G5:G6"/>
    <mergeCell ref="G7:G8"/>
    <mergeCell ref="E7:E8"/>
    <mergeCell ref="A1:N1"/>
    <mergeCell ref="A2:N2"/>
    <mergeCell ref="D4:D6"/>
    <mergeCell ref="J5:K5"/>
    <mergeCell ref="A4:A6"/>
    <mergeCell ref="F4:F6"/>
    <mergeCell ref="B4:B6"/>
    <mergeCell ref="I5:I6"/>
    <mergeCell ref="C4:C6"/>
    <mergeCell ref="E4:E6"/>
    <mergeCell ref="A7:A10"/>
    <mergeCell ref="C7:C8"/>
    <mergeCell ref="A11:A12"/>
    <mergeCell ref="B11:B12"/>
    <mergeCell ref="C11:C12"/>
    <mergeCell ref="B7:B8"/>
    <mergeCell ref="B9:B10"/>
    <mergeCell ref="D17:D18"/>
    <mergeCell ref="D7:D8"/>
    <mergeCell ref="D11:D12"/>
    <mergeCell ref="C13:C14"/>
    <mergeCell ref="D13:D14"/>
    <mergeCell ref="E13:E14"/>
    <mergeCell ref="E17:E18"/>
    <mergeCell ref="E11:E12"/>
    <mergeCell ref="A17:A18"/>
    <mergeCell ref="B17:B18"/>
    <mergeCell ref="A13:A16"/>
    <mergeCell ref="B13:B16"/>
    <mergeCell ref="G19:G20"/>
    <mergeCell ref="A19:A20"/>
    <mergeCell ref="B19:B20"/>
    <mergeCell ref="F19:F20"/>
    <mergeCell ref="E19:E20"/>
    <mergeCell ref="C17:C18"/>
    <mergeCell ref="A21:A22"/>
    <mergeCell ref="D21:D22"/>
    <mergeCell ref="C19:C20"/>
    <mergeCell ref="D19:D20"/>
    <mergeCell ref="C21:C22"/>
    <mergeCell ref="B21:B22"/>
    <mergeCell ref="E27:E28"/>
    <mergeCell ref="G27:G28"/>
    <mergeCell ref="H27:H28"/>
    <mergeCell ref="H25:H26"/>
    <mergeCell ref="F27:F28"/>
    <mergeCell ref="E25:E26"/>
    <mergeCell ref="F25:F26"/>
    <mergeCell ref="G25:G26"/>
    <mergeCell ref="H23:H24"/>
    <mergeCell ref="F23:F24"/>
    <mergeCell ref="E23:E24"/>
    <mergeCell ref="F21:F22"/>
    <mergeCell ref="H21:H22"/>
    <mergeCell ref="E21:E22"/>
    <mergeCell ref="G21:G22"/>
    <mergeCell ref="H19:H20"/>
    <mergeCell ref="H33:H34"/>
    <mergeCell ref="A33:A34"/>
    <mergeCell ref="B33:B34"/>
    <mergeCell ref="C33:C34"/>
    <mergeCell ref="D33:D34"/>
    <mergeCell ref="E33:E34"/>
    <mergeCell ref="G23:G24"/>
    <mergeCell ref="B25:B26"/>
    <mergeCell ref="C25:C26"/>
    <mergeCell ref="A23:A24"/>
    <mergeCell ref="B23:B24"/>
    <mergeCell ref="C23:C24"/>
    <mergeCell ref="D23:D24"/>
    <mergeCell ref="H31:H32"/>
    <mergeCell ref="F31:F32"/>
    <mergeCell ref="G31:G32"/>
    <mergeCell ref="H29:H30"/>
    <mergeCell ref="F29:F30"/>
    <mergeCell ref="D27:D28"/>
    <mergeCell ref="A31:A32"/>
    <mergeCell ref="D25:D26"/>
    <mergeCell ref="B31:B32"/>
    <mergeCell ref="C31:C32"/>
    <mergeCell ref="A25:A26"/>
    <mergeCell ref="A27:A28"/>
    <mergeCell ref="B27:B28"/>
    <mergeCell ref="C27:C28"/>
    <mergeCell ref="A29:A30"/>
    <mergeCell ref="B29:B30"/>
    <mergeCell ref="C29:C30"/>
    <mergeCell ref="G29:G30"/>
    <mergeCell ref="D29:D30"/>
    <mergeCell ref="E29:E30"/>
    <mergeCell ref="D31:D32"/>
    <mergeCell ref="E35:E36"/>
    <mergeCell ref="F35:F36"/>
    <mergeCell ref="G35:G36"/>
    <mergeCell ref="E31:E32"/>
    <mergeCell ref="F33:F34"/>
    <mergeCell ref="G33:G34"/>
    <mergeCell ref="G41:G42"/>
    <mergeCell ref="H41:H42"/>
    <mergeCell ref="E37:E38"/>
    <mergeCell ref="F37:F38"/>
    <mergeCell ref="G37:G38"/>
    <mergeCell ref="H37:H38"/>
    <mergeCell ref="E39:E40"/>
    <mergeCell ref="F39:F40"/>
    <mergeCell ref="G39:G40"/>
    <mergeCell ref="H39:H40"/>
    <mergeCell ref="A37:A38"/>
    <mergeCell ref="B37:B38"/>
    <mergeCell ref="C37:C38"/>
    <mergeCell ref="D37:D38"/>
    <mergeCell ref="H35:H36"/>
    <mergeCell ref="A35:A36"/>
    <mergeCell ref="B35:B36"/>
    <mergeCell ref="C35:C36"/>
    <mergeCell ref="D35:D36"/>
    <mergeCell ref="F41:F42"/>
    <mergeCell ref="A43:A46"/>
    <mergeCell ref="B43:B46"/>
    <mergeCell ref="A41:A42"/>
    <mergeCell ref="B41:B42"/>
    <mergeCell ref="C41:C42"/>
    <mergeCell ref="D39:D40"/>
    <mergeCell ref="A39:A40"/>
    <mergeCell ref="B39:B40"/>
    <mergeCell ref="E41:E42"/>
    <mergeCell ref="C39:C40"/>
    <mergeCell ref="D41:D42"/>
    <mergeCell ref="A47:A48"/>
    <mergeCell ref="B47:B48"/>
    <mergeCell ref="C43:C44"/>
    <mergeCell ref="D43:D44"/>
    <mergeCell ref="C47:C48"/>
    <mergeCell ref="D47:D48"/>
    <mergeCell ref="C49:C50"/>
    <mergeCell ref="D49:D50"/>
    <mergeCell ref="A51:A52"/>
    <mergeCell ref="B51:B52"/>
    <mergeCell ref="C51:C52"/>
    <mergeCell ref="D51:D52"/>
    <mergeCell ref="A49:A50"/>
    <mergeCell ref="B49:B50"/>
    <mergeCell ref="H47:H48"/>
    <mergeCell ref="H43:H44"/>
    <mergeCell ref="E43:E44"/>
    <mergeCell ref="F43:F44"/>
    <mergeCell ref="G43:G44"/>
    <mergeCell ref="G47:G48"/>
    <mergeCell ref="E47:E48"/>
    <mergeCell ref="F47:F48"/>
    <mergeCell ref="C63:C67"/>
    <mergeCell ref="F51:F52"/>
    <mergeCell ref="E61:E62"/>
    <mergeCell ref="E51:E52"/>
    <mergeCell ref="C61:C62"/>
    <mergeCell ref="D61:D62"/>
    <mergeCell ref="F49:F50"/>
    <mergeCell ref="G49:G50"/>
    <mergeCell ref="H49:H50"/>
    <mergeCell ref="A61:A62"/>
    <mergeCell ref="E49:E50"/>
    <mergeCell ref="G51:G52"/>
    <mergeCell ref="F61:F62"/>
    <mergeCell ref="G61:G62"/>
    <mergeCell ref="H61:H62"/>
    <mergeCell ref="H51:H52"/>
  </mergeCells>
  <printOptions/>
  <pageMargins left="0.7874015748031497" right="0.7874015748031497" top="0.984251968503937" bottom="0.5905511811023623" header="0.5118110236220472" footer="0.5118110236220472"/>
  <pageSetup firstPageNumber="5" useFirstPageNumber="1" fitToHeight="0" fitToWidth="1" orientation="landscape" paperSize="9" scale="94" r:id="rId1"/>
  <headerFooter alignWithMargins="0">
    <oddFooter>&amp;CСтраница &amp;P</oddFooter>
  </headerFooter>
  <rowBreaks count="1" manualBreakCount="1">
    <brk id="3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110"/>
  <sheetViews>
    <sheetView view="pageBreakPreview" zoomScaleSheetLayoutView="100"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" sqref="O1:AA16384"/>
    </sheetView>
  </sheetViews>
  <sheetFormatPr defaultColWidth="9.00390625" defaultRowHeight="12.75"/>
  <cols>
    <col min="1" max="1" width="4.25390625" style="0" customWidth="1"/>
    <col min="2" max="2" width="12.625" style="53" customWidth="1"/>
    <col min="3" max="3" width="35.125" style="0" customWidth="1"/>
    <col min="4" max="4" width="7.625" style="53" customWidth="1"/>
    <col min="5" max="5" width="11.375" style="0" customWidth="1"/>
    <col min="7" max="7" width="7.875" style="0" customWidth="1"/>
    <col min="8" max="8" width="9.375" style="0" customWidth="1"/>
    <col min="9" max="9" width="8.00390625" style="0" bestFit="1" customWidth="1"/>
    <col min="10" max="12" width="7.375" style="0" bestFit="1" customWidth="1"/>
    <col min="13" max="14" width="5.625" style="0" customWidth="1"/>
  </cols>
  <sheetData>
    <row r="1" spans="1:14" s="19" customFormat="1" ht="12.75">
      <c r="A1" s="1364" t="s">
        <v>3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</row>
    <row r="2" spans="1:14" s="19" customFormat="1" ht="12.75">
      <c r="A2" s="1365" t="s">
        <v>1223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</row>
    <row r="3" spans="1:14" s="19" customFormat="1" ht="12.75">
      <c r="A3" s="1364" t="s">
        <v>1411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</row>
    <row r="4" spans="1:14" ht="15" customHeight="1" thickBot="1">
      <c r="A4" s="7"/>
      <c r="B4" s="54"/>
      <c r="C4" s="7"/>
      <c r="D4" s="54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12.75" customHeight="1" thickBot="1">
      <c r="A5" s="1222" t="s">
        <v>9</v>
      </c>
      <c r="B5" s="1203" t="s">
        <v>735</v>
      </c>
      <c r="C5" s="1222" t="s">
        <v>455</v>
      </c>
      <c r="D5" s="1203" t="s">
        <v>231</v>
      </c>
      <c r="E5" s="1203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355"/>
      <c r="B6" s="1204"/>
      <c r="C6" s="1355"/>
      <c r="D6" s="1207"/>
      <c r="E6" s="1204"/>
      <c r="F6" s="1204"/>
      <c r="G6" s="1203" t="s">
        <v>456</v>
      </c>
      <c r="H6" s="1203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0"/>
    </row>
    <row r="7" spans="1:14" s="1" customFormat="1" ht="13.5" customHeight="1" thickBot="1">
      <c r="A7" s="1355"/>
      <c r="B7" s="1204"/>
      <c r="C7" s="1355"/>
      <c r="D7" s="1207"/>
      <c r="E7" s="1204"/>
      <c r="F7" s="1204"/>
      <c r="G7" s="1207"/>
      <c r="H7" s="1204"/>
      <c r="I7" s="1355"/>
      <c r="J7" s="9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2">
      <c r="A8" s="1228">
        <v>1</v>
      </c>
      <c r="B8" s="1189" t="s">
        <v>799</v>
      </c>
      <c r="C8" s="1191" t="s">
        <v>101</v>
      </c>
      <c r="D8" s="1199" t="s">
        <v>102</v>
      </c>
      <c r="E8" s="1199" t="s">
        <v>707</v>
      </c>
      <c r="F8" s="1189">
        <f>G8+H8</f>
        <v>30.445</v>
      </c>
      <c r="G8" s="1186">
        <v>30.445</v>
      </c>
      <c r="H8" s="1197">
        <v>0</v>
      </c>
      <c r="I8" s="502">
        <f aca="true" t="shared" si="0" ref="I8:I65">J8+K8</f>
        <v>3</v>
      </c>
      <c r="J8" s="506">
        <v>3</v>
      </c>
      <c r="K8" s="504">
        <v>0</v>
      </c>
      <c r="L8" s="502">
        <f>M8+N8</f>
        <v>57</v>
      </c>
      <c r="M8" s="506">
        <v>45</v>
      </c>
      <c r="N8" s="502">
        <v>12</v>
      </c>
    </row>
    <row r="9" spans="1:14" s="266" customFormat="1" ht="12.75" thickBot="1">
      <c r="A9" s="1229"/>
      <c r="B9" s="1190"/>
      <c r="C9" s="1192"/>
      <c r="D9" s="1200"/>
      <c r="E9" s="1200"/>
      <c r="F9" s="1190"/>
      <c r="G9" s="1187"/>
      <c r="H9" s="1198"/>
      <c r="I9" s="828">
        <f t="shared" si="0"/>
        <v>173.81</v>
      </c>
      <c r="J9" s="871">
        <f>170.38+3.43</f>
        <v>173.81</v>
      </c>
      <c r="K9" s="867">
        <v>0</v>
      </c>
      <c r="L9" s="827">
        <f>M9+N9</f>
        <v>1645</v>
      </c>
      <c r="M9" s="871">
        <v>1489</v>
      </c>
      <c r="N9" s="827">
        <v>156</v>
      </c>
    </row>
    <row r="10" spans="1:14" s="266" customFormat="1" ht="12.75" customHeight="1" hidden="1" thickBot="1">
      <c r="A10" s="1167"/>
      <c r="B10" s="1356"/>
      <c r="C10" s="1182"/>
      <c r="D10" s="1230"/>
      <c r="E10" s="1169"/>
      <c r="F10" s="1184"/>
      <c r="G10" s="1184"/>
      <c r="H10" s="1178"/>
      <c r="I10" s="644"/>
      <c r="J10" s="645"/>
      <c r="K10" s="646"/>
      <c r="L10" s="644"/>
      <c r="M10" s="648"/>
      <c r="N10" s="644"/>
    </row>
    <row r="11" spans="1:14" s="266" customFormat="1" ht="12.75" customHeight="1" hidden="1">
      <c r="A11" s="1163"/>
      <c r="B11" s="1337"/>
      <c r="C11" s="1332"/>
      <c r="D11" s="1333"/>
      <c r="E11" s="1358"/>
      <c r="F11" s="1162"/>
      <c r="G11" s="1162"/>
      <c r="H11" s="1366"/>
      <c r="I11" s="854"/>
      <c r="J11" s="678"/>
      <c r="K11" s="875"/>
      <c r="L11" s="873"/>
      <c r="M11" s="699"/>
      <c r="N11" s="854"/>
    </row>
    <row r="12" spans="1:14" s="266" customFormat="1" ht="12.75" customHeight="1" hidden="1">
      <c r="A12" s="1163"/>
      <c r="B12" s="1337"/>
      <c r="C12" s="679"/>
      <c r="D12" s="700"/>
      <c r="E12" s="701"/>
      <c r="F12" s="702"/>
      <c r="G12" s="702"/>
      <c r="H12" s="703"/>
      <c r="I12" s="831"/>
      <c r="J12" s="855"/>
      <c r="K12" s="606"/>
      <c r="L12" s="855"/>
      <c r="M12" s="876"/>
      <c r="N12" s="855"/>
    </row>
    <row r="13" spans="1:14" s="266" customFormat="1" ht="12.75" customHeight="1" hidden="1">
      <c r="A13" s="1168"/>
      <c r="B13" s="1357"/>
      <c r="C13" s="608"/>
      <c r="D13" s="604"/>
      <c r="E13" s="704"/>
      <c r="F13" s="685"/>
      <c r="G13" s="685"/>
      <c r="H13" s="825"/>
      <c r="I13" s="824"/>
      <c r="J13" s="824"/>
      <c r="K13" s="824"/>
      <c r="L13" s="824"/>
      <c r="M13" s="853"/>
      <c r="N13" s="824"/>
    </row>
    <row r="14" spans="1:14" s="266" customFormat="1" ht="12" customHeight="1">
      <c r="A14" s="1228">
        <v>2</v>
      </c>
      <c r="B14" s="1359" t="s">
        <v>801</v>
      </c>
      <c r="C14" s="1191" t="s">
        <v>105</v>
      </c>
      <c r="D14" s="1348" t="s">
        <v>627</v>
      </c>
      <c r="E14" s="1199" t="s">
        <v>1394</v>
      </c>
      <c r="F14" s="1186">
        <f>G14+H14</f>
        <v>37.705</v>
      </c>
      <c r="G14" s="1186">
        <f>G16+G17</f>
        <v>37.705</v>
      </c>
      <c r="H14" s="1197">
        <v>0</v>
      </c>
      <c r="I14" s="502">
        <f t="shared" si="0"/>
        <v>2</v>
      </c>
      <c r="J14" s="506">
        <v>2</v>
      </c>
      <c r="K14" s="504">
        <v>0</v>
      </c>
      <c r="L14" s="502">
        <f>M14+N14</f>
        <v>50</v>
      </c>
      <c r="M14" s="506">
        <v>35</v>
      </c>
      <c r="N14" s="502">
        <v>15</v>
      </c>
    </row>
    <row r="15" spans="1:14" s="266" customFormat="1" ht="12.75" customHeight="1">
      <c r="A15" s="1339"/>
      <c r="B15" s="1360"/>
      <c r="C15" s="1340"/>
      <c r="D15" s="1349"/>
      <c r="E15" s="1338"/>
      <c r="F15" s="1350"/>
      <c r="G15" s="1350"/>
      <c r="H15" s="1345"/>
      <c r="I15" s="847">
        <f t="shared" si="0"/>
        <v>84.88</v>
      </c>
      <c r="J15" s="847">
        <v>84.88</v>
      </c>
      <c r="K15" s="864">
        <v>0</v>
      </c>
      <c r="L15" s="860">
        <f>M15+N15</f>
        <v>830</v>
      </c>
      <c r="M15" s="864">
        <v>656</v>
      </c>
      <c r="N15" s="848">
        <v>174</v>
      </c>
    </row>
    <row r="16" spans="1:14" s="266" customFormat="1" ht="12.75" customHeight="1">
      <c r="A16" s="1339"/>
      <c r="B16" s="1360"/>
      <c r="C16" s="521" t="s">
        <v>449</v>
      </c>
      <c r="D16" s="530" t="s">
        <v>102</v>
      </c>
      <c r="E16" s="531" t="s">
        <v>1395</v>
      </c>
      <c r="F16" s="532">
        <f>G16+H16</f>
        <v>18.4</v>
      </c>
      <c r="G16" s="532">
        <v>18.4</v>
      </c>
      <c r="H16" s="857"/>
      <c r="I16" s="860"/>
      <c r="J16" s="525"/>
      <c r="K16" s="512"/>
      <c r="L16" s="861"/>
      <c r="M16" s="512"/>
      <c r="N16" s="860"/>
    </row>
    <row r="17" spans="1:14" s="266" customFormat="1" ht="13.5" customHeight="1" thickBot="1">
      <c r="A17" s="1229"/>
      <c r="B17" s="1361"/>
      <c r="C17" s="526"/>
      <c r="D17" s="527" t="s">
        <v>27</v>
      </c>
      <c r="E17" s="528" t="s">
        <v>1396</v>
      </c>
      <c r="F17" s="533">
        <f>G17+H17</f>
        <v>19.305</v>
      </c>
      <c r="G17" s="533">
        <v>19.305</v>
      </c>
      <c r="H17" s="828"/>
      <c r="I17" s="827"/>
      <c r="J17" s="589"/>
      <c r="K17" s="827"/>
      <c r="L17" s="827"/>
      <c r="M17" s="871"/>
      <c r="N17" s="827"/>
    </row>
    <row r="18" spans="1:14" s="266" customFormat="1" ht="12">
      <c r="A18" s="1167">
        <v>3</v>
      </c>
      <c r="B18" s="1169" t="s">
        <v>802</v>
      </c>
      <c r="C18" s="1182" t="s">
        <v>106</v>
      </c>
      <c r="D18" s="1173" t="s">
        <v>27</v>
      </c>
      <c r="E18" s="1169" t="s">
        <v>678</v>
      </c>
      <c r="F18" s="1169">
        <f>G18+H18</f>
        <v>3.249</v>
      </c>
      <c r="G18" s="1184">
        <v>3.249</v>
      </c>
      <c r="H18" s="1178">
        <v>0</v>
      </c>
      <c r="I18" s="644">
        <f t="shared" si="0"/>
        <v>0</v>
      </c>
      <c r="J18" s="645">
        <v>0</v>
      </c>
      <c r="K18" s="646">
        <v>0</v>
      </c>
      <c r="L18" s="644">
        <f>M18+N18</f>
        <v>6</v>
      </c>
      <c r="M18" s="648">
        <v>3</v>
      </c>
      <c r="N18" s="644">
        <v>3</v>
      </c>
    </row>
    <row r="19" spans="1:14" s="266" customFormat="1" ht="12.75" thickBot="1">
      <c r="A19" s="1168"/>
      <c r="B19" s="1170"/>
      <c r="C19" s="1183"/>
      <c r="D19" s="1174"/>
      <c r="E19" s="1170"/>
      <c r="F19" s="1170"/>
      <c r="G19" s="1185"/>
      <c r="H19" s="1179"/>
      <c r="I19" s="824">
        <f t="shared" si="0"/>
        <v>0</v>
      </c>
      <c r="J19" s="809">
        <v>0</v>
      </c>
      <c r="K19" s="853">
        <v>0</v>
      </c>
      <c r="L19" s="824">
        <f>M19+N19</f>
        <v>85</v>
      </c>
      <c r="M19" s="611">
        <v>55</v>
      </c>
      <c r="N19" s="824">
        <v>30</v>
      </c>
    </row>
    <row r="20" spans="1:14" s="266" customFormat="1" ht="12">
      <c r="A20" s="1167">
        <v>4</v>
      </c>
      <c r="B20" s="1169" t="s">
        <v>803</v>
      </c>
      <c r="C20" s="1182" t="s">
        <v>486</v>
      </c>
      <c r="D20" s="1173" t="s">
        <v>27</v>
      </c>
      <c r="E20" s="1169" t="s">
        <v>1204</v>
      </c>
      <c r="F20" s="1184">
        <f>G20+H20</f>
        <v>4.123</v>
      </c>
      <c r="G20" s="1184">
        <v>4.123</v>
      </c>
      <c r="H20" s="1169">
        <v>0</v>
      </c>
      <c r="I20" s="644">
        <f t="shared" si="0"/>
        <v>1</v>
      </c>
      <c r="J20" s="648">
        <v>1</v>
      </c>
      <c r="K20" s="646">
        <v>0</v>
      </c>
      <c r="L20" s="644">
        <f aca="true" t="shared" si="1" ref="L20:L72">M20+N20</f>
        <v>5</v>
      </c>
      <c r="M20" s="648">
        <v>2</v>
      </c>
      <c r="N20" s="644">
        <v>3</v>
      </c>
    </row>
    <row r="21" spans="1:14" s="266" customFormat="1" ht="12.75" thickBot="1">
      <c r="A21" s="1168"/>
      <c r="B21" s="1170"/>
      <c r="C21" s="1183"/>
      <c r="D21" s="1174"/>
      <c r="E21" s="1170"/>
      <c r="F21" s="1185"/>
      <c r="G21" s="1185"/>
      <c r="H21" s="1170"/>
      <c r="I21" s="824">
        <f t="shared" si="0"/>
        <v>34.15</v>
      </c>
      <c r="J21" s="611">
        <v>34.15</v>
      </c>
      <c r="K21" s="853">
        <v>0</v>
      </c>
      <c r="L21" s="824">
        <f t="shared" si="1"/>
        <v>62</v>
      </c>
      <c r="M21" s="611">
        <v>35</v>
      </c>
      <c r="N21" s="824">
        <v>27</v>
      </c>
    </row>
    <row r="22" spans="1:14" s="266" customFormat="1" ht="12">
      <c r="A22" s="1167">
        <v>5</v>
      </c>
      <c r="B22" s="1169" t="s">
        <v>804</v>
      </c>
      <c r="C22" s="1182" t="s">
        <v>108</v>
      </c>
      <c r="D22" s="1173" t="s">
        <v>27</v>
      </c>
      <c r="E22" s="1169" t="s">
        <v>679</v>
      </c>
      <c r="F22" s="1178">
        <f>G22+H22</f>
        <v>2.05</v>
      </c>
      <c r="G22" s="1178">
        <v>2.05</v>
      </c>
      <c r="H22" s="1178">
        <v>0</v>
      </c>
      <c r="I22" s="644">
        <f t="shared" si="0"/>
        <v>0</v>
      </c>
      <c r="J22" s="645">
        <v>0</v>
      </c>
      <c r="K22" s="646">
        <v>0</v>
      </c>
      <c r="L22" s="644">
        <f t="shared" si="1"/>
        <v>2</v>
      </c>
      <c r="M22" s="645">
        <v>2</v>
      </c>
      <c r="N22" s="645">
        <v>0</v>
      </c>
    </row>
    <row r="23" spans="1:14" s="266" customFormat="1" ht="12.75" customHeight="1" thickBot="1">
      <c r="A23" s="1168"/>
      <c r="B23" s="1170"/>
      <c r="C23" s="1183"/>
      <c r="D23" s="1174"/>
      <c r="E23" s="1170"/>
      <c r="F23" s="1179"/>
      <c r="G23" s="1179"/>
      <c r="H23" s="1179"/>
      <c r="I23" s="824">
        <f t="shared" si="0"/>
        <v>0</v>
      </c>
      <c r="J23" s="809">
        <v>0</v>
      </c>
      <c r="K23" s="853">
        <v>0</v>
      </c>
      <c r="L23" s="824">
        <f t="shared" si="1"/>
        <v>30</v>
      </c>
      <c r="M23" s="809">
        <v>30</v>
      </c>
      <c r="N23" s="809">
        <v>0</v>
      </c>
    </row>
    <row r="24" spans="1:14" s="266" customFormat="1" ht="12">
      <c r="A24" s="1167">
        <v>6</v>
      </c>
      <c r="B24" s="1169" t="s">
        <v>809</v>
      </c>
      <c r="C24" s="1182" t="s">
        <v>479</v>
      </c>
      <c r="D24" s="1173" t="s">
        <v>27</v>
      </c>
      <c r="E24" s="1173" t="s">
        <v>1290</v>
      </c>
      <c r="F24" s="1184">
        <f>G24+H24</f>
        <v>14.354</v>
      </c>
      <c r="G24" s="1184">
        <v>14.354</v>
      </c>
      <c r="H24" s="1178">
        <v>0</v>
      </c>
      <c r="I24" s="644">
        <f t="shared" si="0"/>
        <v>0</v>
      </c>
      <c r="J24" s="645">
        <v>0</v>
      </c>
      <c r="K24" s="646">
        <v>0</v>
      </c>
      <c r="L24" s="644">
        <f t="shared" si="1"/>
        <v>13</v>
      </c>
      <c r="M24" s="645">
        <v>8</v>
      </c>
      <c r="N24" s="645">
        <v>5</v>
      </c>
    </row>
    <row r="25" spans="1:14" s="266" customFormat="1" ht="12.75" thickBot="1">
      <c r="A25" s="1168"/>
      <c r="B25" s="1170"/>
      <c r="C25" s="1183"/>
      <c r="D25" s="1174"/>
      <c r="E25" s="1174"/>
      <c r="F25" s="1185"/>
      <c r="G25" s="1185"/>
      <c r="H25" s="1179"/>
      <c r="I25" s="824">
        <f t="shared" si="0"/>
        <v>0</v>
      </c>
      <c r="J25" s="809">
        <v>0</v>
      </c>
      <c r="K25" s="853">
        <v>0</v>
      </c>
      <c r="L25" s="824">
        <f t="shared" si="1"/>
        <v>285</v>
      </c>
      <c r="M25" s="809">
        <v>188</v>
      </c>
      <c r="N25" s="809">
        <v>97</v>
      </c>
    </row>
    <row r="26" spans="1:14" s="266" customFormat="1" ht="12">
      <c r="A26" s="1167">
        <v>7</v>
      </c>
      <c r="B26" s="1169" t="s">
        <v>810</v>
      </c>
      <c r="C26" s="1182" t="s">
        <v>112</v>
      </c>
      <c r="D26" s="1173" t="s">
        <v>27</v>
      </c>
      <c r="E26" s="1173" t="s">
        <v>1205</v>
      </c>
      <c r="F26" s="1184">
        <f>G26+H26</f>
        <v>3.37</v>
      </c>
      <c r="G26" s="1184">
        <v>3.37</v>
      </c>
      <c r="H26" s="1178">
        <v>0</v>
      </c>
      <c r="I26" s="644">
        <f t="shared" si="0"/>
        <v>0</v>
      </c>
      <c r="J26" s="645">
        <v>0</v>
      </c>
      <c r="K26" s="646">
        <v>0</v>
      </c>
      <c r="L26" s="644">
        <f t="shared" si="1"/>
        <v>4</v>
      </c>
      <c r="M26" s="645">
        <v>3</v>
      </c>
      <c r="N26" s="645">
        <v>1</v>
      </c>
    </row>
    <row r="27" spans="1:14" s="266" customFormat="1" ht="12.75" thickBot="1">
      <c r="A27" s="1168"/>
      <c r="B27" s="1170"/>
      <c r="C27" s="1183"/>
      <c r="D27" s="1174"/>
      <c r="E27" s="1174"/>
      <c r="F27" s="1185"/>
      <c r="G27" s="1185"/>
      <c r="H27" s="1179"/>
      <c r="I27" s="824">
        <f t="shared" si="0"/>
        <v>0</v>
      </c>
      <c r="J27" s="809">
        <v>0</v>
      </c>
      <c r="K27" s="853">
        <v>0</v>
      </c>
      <c r="L27" s="824">
        <f t="shared" si="1"/>
        <v>63</v>
      </c>
      <c r="M27" s="809">
        <v>51</v>
      </c>
      <c r="N27" s="809">
        <v>12</v>
      </c>
    </row>
    <row r="28" spans="1:14" s="266" customFormat="1" ht="12">
      <c r="A28" s="1167">
        <v>8</v>
      </c>
      <c r="B28" s="1169" t="s">
        <v>811</v>
      </c>
      <c r="C28" s="1182" t="s">
        <v>113</v>
      </c>
      <c r="D28" s="1173" t="s">
        <v>27</v>
      </c>
      <c r="E28" s="1173" t="s">
        <v>1206</v>
      </c>
      <c r="F28" s="1362">
        <f>G28+H28</f>
        <v>6.775</v>
      </c>
      <c r="G28" s="1184">
        <v>1.155</v>
      </c>
      <c r="H28" s="1184">
        <v>5.62</v>
      </c>
      <c r="I28" s="644">
        <f t="shared" si="0"/>
        <v>1</v>
      </c>
      <c r="J28" s="645">
        <v>1</v>
      </c>
      <c r="K28" s="646">
        <v>0</v>
      </c>
      <c r="L28" s="644">
        <f t="shared" si="1"/>
        <v>3</v>
      </c>
      <c r="M28" s="645">
        <v>2</v>
      </c>
      <c r="N28" s="645">
        <v>1</v>
      </c>
    </row>
    <row r="29" spans="1:14" s="266" customFormat="1" ht="12.75" thickBot="1">
      <c r="A29" s="1168"/>
      <c r="B29" s="1170"/>
      <c r="C29" s="1183"/>
      <c r="D29" s="1174"/>
      <c r="E29" s="1174"/>
      <c r="F29" s="1363"/>
      <c r="G29" s="1185"/>
      <c r="H29" s="1185"/>
      <c r="I29" s="824">
        <f t="shared" si="0"/>
        <v>19.82</v>
      </c>
      <c r="J29" s="809">
        <v>19.82</v>
      </c>
      <c r="K29" s="853">
        <v>0</v>
      </c>
      <c r="L29" s="824">
        <f t="shared" si="1"/>
        <v>80</v>
      </c>
      <c r="M29" s="809">
        <v>42</v>
      </c>
      <c r="N29" s="809">
        <v>38</v>
      </c>
    </row>
    <row r="30" spans="1:14" s="266" customFormat="1" ht="12">
      <c r="A30" s="1167">
        <v>9</v>
      </c>
      <c r="B30" s="1169" t="s">
        <v>816</v>
      </c>
      <c r="C30" s="1182" t="s">
        <v>116</v>
      </c>
      <c r="D30" s="1173" t="s">
        <v>27</v>
      </c>
      <c r="E30" s="1173" t="s">
        <v>1207</v>
      </c>
      <c r="F30" s="1184">
        <f>G30+H30</f>
        <v>7.273</v>
      </c>
      <c r="G30" s="1184">
        <v>6.455</v>
      </c>
      <c r="H30" s="1184">
        <v>0.818</v>
      </c>
      <c r="I30" s="644">
        <f t="shared" si="0"/>
        <v>0</v>
      </c>
      <c r="J30" s="645">
        <v>0</v>
      </c>
      <c r="K30" s="646">
        <v>0</v>
      </c>
      <c r="L30" s="644">
        <f t="shared" si="1"/>
        <v>3</v>
      </c>
      <c r="M30" s="645">
        <v>2</v>
      </c>
      <c r="N30" s="644">
        <v>1</v>
      </c>
    </row>
    <row r="31" spans="1:14" s="266" customFormat="1" ht="12.75" thickBot="1">
      <c r="A31" s="1168"/>
      <c r="B31" s="1170"/>
      <c r="C31" s="1183"/>
      <c r="D31" s="1174"/>
      <c r="E31" s="1174"/>
      <c r="F31" s="1185"/>
      <c r="G31" s="1185"/>
      <c r="H31" s="1185"/>
      <c r="I31" s="824">
        <f t="shared" si="0"/>
        <v>0</v>
      </c>
      <c r="J31" s="809">
        <v>0</v>
      </c>
      <c r="K31" s="853">
        <v>0</v>
      </c>
      <c r="L31" s="824">
        <f t="shared" si="1"/>
        <v>42</v>
      </c>
      <c r="M31" s="809">
        <v>30</v>
      </c>
      <c r="N31" s="824">
        <v>12</v>
      </c>
    </row>
    <row r="32" spans="1:14" s="266" customFormat="1" ht="12">
      <c r="A32" s="1167">
        <v>10</v>
      </c>
      <c r="B32" s="1169" t="s">
        <v>818</v>
      </c>
      <c r="C32" s="1182" t="s">
        <v>118</v>
      </c>
      <c r="D32" s="1173" t="s">
        <v>27</v>
      </c>
      <c r="E32" s="1173" t="s">
        <v>686</v>
      </c>
      <c r="F32" s="1184">
        <f>G32+H32</f>
        <v>1.266</v>
      </c>
      <c r="G32" s="1184">
        <v>0</v>
      </c>
      <c r="H32" s="1184">
        <v>1.266</v>
      </c>
      <c r="I32" s="644">
        <f t="shared" si="0"/>
        <v>0</v>
      </c>
      <c r="J32" s="645">
        <v>0</v>
      </c>
      <c r="K32" s="646">
        <v>0</v>
      </c>
      <c r="L32" s="644">
        <f t="shared" si="1"/>
        <v>1</v>
      </c>
      <c r="M32" s="645">
        <v>0</v>
      </c>
      <c r="N32" s="645">
        <v>1</v>
      </c>
    </row>
    <row r="33" spans="1:14" s="266" customFormat="1" ht="12.75" thickBot="1">
      <c r="A33" s="1168"/>
      <c r="B33" s="1170"/>
      <c r="C33" s="1183"/>
      <c r="D33" s="1174"/>
      <c r="E33" s="1174"/>
      <c r="F33" s="1185"/>
      <c r="G33" s="1185"/>
      <c r="H33" s="1185"/>
      <c r="I33" s="824">
        <f t="shared" si="0"/>
        <v>0</v>
      </c>
      <c r="J33" s="809">
        <v>0</v>
      </c>
      <c r="K33" s="853">
        <v>0</v>
      </c>
      <c r="L33" s="824">
        <f t="shared" si="1"/>
        <v>11</v>
      </c>
      <c r="M33" s="809">
        <v>0</v>
      </c>
      <c r="N33" s="809">
        <v>11</v>
      </c>
    </row>
    <row r="34" spans="1:14" s="266" customFormat="1" ht="12">
      <c r="A34" s="1167">
        <v>11</v>
      </c>
      <c r="B34" s="1169" t="s">
        <v>819</v>
      </c>
      <c r="C34" s="1182" t="s">
        <v>119</v>
      </c>
      <c r="D34" s="1173" t="s">
        <v>27</v>
      </c>
      <c r="E34" s="1173" t="s">
        <v>703</v>
      </c>
      <c r="F34" s="1184">
        <f>G34+H34</f>
        <v>5.076</v>
      </c>
      <c r="G34" s="1184">
        <v>5.076</v>
      </c>
      <c r="H34" s="1184"/>
      <c r="I34" s="644">
        <f t="shared" si="0"/>
        <v>1</v>
      </c>
      <c r="J34" s="648">
        <v>1</v>
      </c>
      <c r="K34" s="644">
        <v>0</v>
      </c>
      <c r="L34" s="644">
        <f t="shared" si="1"/>
        <v>3</v>
      </c>
      <c r="M34" s="645">
        <v>1</v>
      </c>
      <c r="N34" s="645">
        <v>2</v>
      </c>
    </row>
    <row r="35" spans="1:14" s="266" customFormat="1" ht="12.75" thickBot="1">
      <c r="A35" s="1168"/>
      <c r="B35" s="1170"/>
      <c r="C35" s="1183"/>
      <c r="D35" s="1174"/>
      <c r="E35" s="1174"/>
      <c r="F35" s="1185"/>
      <c r="G35" s="1185"/>
      <c r="H35" s="1185"/>
      <c r="I35" s="825">
        <f t="shared" si="0"/>
        <v>12.6</v>
      </c>
      <c r="J35" s="651">
        <v>12.6</v>
      </c>
      <c r="K35" s="824">
        <v>0</v>
      </c>
      <c r="L35" s="824">
        <f t="shared" si="1"/>
        <v>57</v>
      </c>
      <c r="M35" s="809">
        <v>20</v>
      </c>
      <c r="N35" s="809">
        <v>37</v>
      </c>
    </row>
    <row r="36" spans="1:14" s="266" customFormat="1" ht="12">
      <c r="A36" s="1167">
        <v>12</v>
      </c>
      <c r="B36" s="1169" t="s">
        <v>820</v>
      </c>
      <c r="C36" s="1182" t="s">
        <v>121</v>
      </c>
      <c r="D36" s="1173" t="s">
        <v>27</v>
      </c>
      <c r="E36" s="1173" t="s">
        <v>1496</v>
      </c>
      <c r="F36" s="1169">
        <f>G36+H36</f>
        <v>5.09</v>
      </c>
      <c r="G36" s="1184">
        <v>5.09</v>
      </c>
      <c r="H36" s="1178">
        <v>0</v>
      </c>
      <c r="I36" s="644">
        <f t="shared" si="0"/>
        <v>0</v>
      </c>
      <c r="J36" s="644">
        <v>0</v>
      </c>
      <c r="K36" s="646">
        <v>0</v>
      </c>
      <c r="L36" s="644">
        <f t="shared" si="1"/>
        <v>7</v>
      </c>
      <c r="M36" s="645">
        <v>2</v>
      </c>
      <c r="N36" s="645">
        <v>5</v>
      </c>
    </row>
    <row r="37" spans="1:14" s="266" customFormat="1" ht="21.75" customHeight="1" thickBot="1">
      <c r="A37" s="1168"/>
      <c r="B37" s="1170"/>
      <c r="C37" s="1183"/>
      <c r="D37" s="1174"/>
      <c r="E37" s="1174"/>
      <c r="F37" s="1170"/>
      <c r="G37" s="1185"/>
      <c r="H37" s="1179"/>
      <c r="I37" s="824">
        <f t="shared" si="0"/>
        <v>0</v>
      </c>
      <c r="J37" s="824">
        <v>0</v>
      </c>
      <c r="K37" s="853">
        <v>0</v>
      </c>
      <c r="L37" s="824">
        <f t="shared" si="1"/>
        <v>67</v>
      </c>
      <c r="M37" s="809">
        <v>28</v>
      </c>
      <c r="N37" s="809">
        <v>39</v>
      </c>
    </row>
    <row r="38" spans="1:14" s="266" customFormat="1" ht="12" customHeight="1">
      <c r="A38" s="1167">
        <v>13</v>
      </c>
      <c r="B38" s="1169" t="s">
        <v>821</v>
      </c>
      <c r="C38" s="1182" t="s">
        <v>1398</v>
      </c>
      <c r="D38" s="1353" t="s">
        <v>625</v>
      </c>
      <c r="E38" s="1353" t="s">
        <v>702</v>
      </c>
      <c r="F38" s="1351">
        <f>G38+H38</f>
        <v>10.966999999999999</v>
      </c>
      <c r="G38" s="1234">
        <f>G40+G41</f>
        <v>1.8639999999999999</v>
      </c>
      <c r="H38" s="1388">
        <f>H40+H41</f>
        <v>9.103</v>
      </c>
      <c r="I38" s="644">
        <f t="shared" si="0"/>
        <v>1</v>
      </c>
      <c r="J38" s="648">
        <v>1</v>
      </c>
      <c r="K38" s="644">
        <v>0</v>
      </c>
      <c r="L38" s="648">
        <f t="shared" si="1"/>
        <v>3</v>
      </c>
      <c r="M38" s="644">
        <v>3</v>
      </c>
      <c r="N38" s="644">
        <v>0</v>
      </c>
    </row>
    <row r="39" spans="1:14" s="266" customFormat="1" ht="13.5" customHeight="1" thickBot="1">
      <c r="A39" s="1163"/>
      <c r="B39" s="1164"/>
      <c r="C39" s="1332"/>
      <c r="D39" s="1354"/>
      <c r="E39" s="1354"/>
      <c r="F39" s="1352"/>
      <c r="G39" s="1235"/>
      <c r="H39" s="1389"/>
      <c r="I39" s="825">
        <f t="shared" si="0"/>
        <v>29.1</v>
      </c>
      <c r="J39" s="651">
        <v>29.1</v>
      </c>
      <c r="K39" s="824">
        <v>0</v>
      </c>
      <c r="L39" s="611">
        <f>M39+N39</f>
        <v>58</v>
      </c>
      <c r="M39" s="824">
        <v>58</v>
      </c>
      <c r="N39" s="824">
        <v>0</v>
      </c>
    </row>
    <row r="40" spans="1:14" s="607" customFormat="1" ht="13.5" customHeight="1" thickBot="1">
      <c r="A40" s="1163"/>
      <c r="B40" s="1164"/>
      <c r="C40" s="1332"/>
      <c r="D40" s="604" t="s">
        <v>27</v>
      </c>
      <c r="E40" s="701" t="s">
        <v>21</v>
      </c>
      <c r="F40" s="702">
        <f>G40+H40</f>
        <v>10</v>
      </c>
      <c r="G40" s="702">
        <v>0.897</v>
      </c>
      <c r="H40" s="705">
        <v>9.103</v>
      </c>
      <c r="I40" s="831"/>
      <c r="J40" s="605"/>
      <c r="K40" s="606"/>
      <c r="L40" s="855"/>
      <c r="M40" s="606"/>
      <c r="N40" s="831"/>
    </row>
    <row r="41" spans="1:14" s="607" customFormat="1" ht="13.5" customHeight="1" thickBot="1">
      <c r="A41" s="1168"/>
      <c r="B41" s="1170"/>
      <c r="C41" s="608"/>
      <c r="D41" s="604" t="s">
        <v>49</v>
      </c>
      <c r="E41" s="704" t="s">
        <v>1399</v>
      </c>
      <c r="F41" s="685">
        <f>G41+H41</f>
        <v>0.967</v>
      </c>
      <c r="G41" s="685">
        <v>0.967</v>
      </c>
      <c r="H41" s="823"/>
      <c r="I41" s="824"/>
      <c r="J41" s="809"/>
      <c r="K41" s="824"/>
      <c r="L41" s="824"/>
      <c r="M41" s="611"/>
      <c r="N41" s="824"/>
    </row>
    <row r="42" spans="1:14" s="266" customFormat="1" ht="12">
      <c r="A42" s="1167">
        <v>14</v>
      </c>
      <c r="B42" s="1169" t="s">
        <v>822</v>
      </c>
      <c r="C42" s="1182" t="s">
        <v>122</v>
      </c>
      <c r="D42" s="1173" t="s">
        <v>49</v>
      </c>
      <c r="E42" s="1173" t="s">
        <v>1208</v>
      </c>
      <c r="F42" s="1184">
        <f>G42+H42</f>
        <v>2.956</v>
      </c>
      <c r="G42" s="1184">
        <v>2.956</v>
      </c>
      <c r="H42" s="1184">
        <v>0</v>
      </c>
      <c r="I42" s="644">
        <f t="shared" si="0"/>
        <v>1</v>
      </c>
      <c r="J42" s="645">
        <v>0</v>
      </c>
      <c r="K42" s="646">
        <v>1</v>
      </c>
      <c r="L42" s="644">
        <f t="shared" si="1"/>
        <v>1</v>
      </c>
      <c r="M42" s="645">
        <v>1</v>
      </c>
      <c r="N42" s="645">
        <v>0</v>
      </c>
    </row>
    <row r="43" spans="1:14" s="266" customFormat="1" ht="12.75" thickBot="1">
      <c r="A43" s="1168"/>
      <c r="B43" s="1170"/>
      <c r="C43" s="1183"/>
      <c r="D43" s="1174"/>
      <c r="E43" s="1174"/>
      <c r="F43" s="1185"/>
      <c r="G43" s="1185"/>
      <c r="H43" s="1185"/>
      <c r="I43" s="824">
        <f t="shared" si="0"/>
        <v>39.87</v>
      </c>
      <c r="J43" s="809">
        <v>0</v>
      </c>
      <c r="K43" s="853">
        <v>39.87</v>
      </c>
      <c r="L43" s="824">
        <f t="shared" si="1"/>
        <v>14</v>
      </c>
      <c r="M43" s="809">
        <v>14</v>
      </c>
      <c r="N43" s="809">
        <v>0</v>
      </c>
    </row>
    <row r="44" spans="1:14" s="266" customFormat="1" ht="12">
      <c r="A44" s="1167">
        <v>15</v>
      </c>
      <c r="B44" s="1169" t="s">
        <v>824</v>
      </c>
      <c r="C44" s="1182" t="s">
        <v>124</v>
      </c>
      <c r="D44" s="1173" t="s">
        <v>27</v>
      </c>
      <c r="E44" s="1173" t="s">
        <v>1209</v>
      </c>
      <c r="F44" s="1184">
        <f>G44+H44</f>
        <v>1.94</v>
      </c>
      <c r="G44" s="1184">
        <v>1.94</v>
      </c>
      <c r="H44" s="1184">
        <v>0</v>
      </c>
      <c r="I44" s="644">
        <f t="shared" si="0"/>
        <v>1</v>
      </c>
      <c r="J44" s="645">
        <v>1</v>
      </c>
      <c r="K44" s="646">
        <v>0</v>
      </c>
      <c r="L44" s="644">
        <f t="shared" si="1"/>
        <v>5</v>
      </c>
      <c r="M44" s="645">
        <v>1</v>
      </c>
      <c r="N44" s="645">
        <v>4</v>
      </c>
    </row>
    <row r="45" spans="1:14" s="266" customFormat="1" ht="12.75" thickBot="1">
      <c r="A45" s="1168"/>
      <c r="B45" s="1170"/>
      <c r="C45" s="1183"/>
      <c r="D45" s="1174"/>
      <c r="E45" s="1174"/>
      <c r="F45" s="1185"/>
      <c r="G45" s="1185"/>
      <c r="H45" s="1185"/>
      <c r="I45" s="824">
        <f t="shared" si="0"/>
        <v>50.78</v>
      </c>
      <c r="J45" s="809">
        <v>50.78</v>
      </c>
      <c r="K45" s="853">
        <v>0</v>
      </c>
      <c r="L45" s="824">
        <f t="shared" si="1"/>
        <v>51</v>
      </c>
      <c r="M45" s="809">
        <v>12</v>
      </c>
      <c r="N45" s="809">
        <v>39</v>
      </c>
    </row>
    <row r="46" spans="1:14" s="266" customFormat="1" ht="12">
      <c r="A46" s="1167">
        <v>16</v>
      </c>
      <c r="B46" s="1169" t="s">
        <v>825</v>
      </c>
      <c r="C46" s="1182" t="s">
        <v>125</v>
      </c>
      <c r="D46" s="1173" t="s">
        <v>27</v>
      </c>
      <c r="E46" s="1173" t="s">
        <v>111</v>
      </c>
      <c r="F46" s="1169">
        <f>G46+H46</f>
        <v>1.3</v>
      </c>
      <c r="G46" s="1178">
        <v>1.3</v>
      </c>
      <c r="H46" s="1178">
        <v>0</v>
      </c>
      <c r="I46" s="644">
        <f t="shared" si="0"/>
        <v>0</v>
      </c>
      <c r="J46" s="645">
        <v>0</v>
      </c>
      <c r="K46" s="646">
        <v>0</v>
      </c>
      <c r="L46" s="644">
        <f t="shared" si="1"/>
        <v>3</v>
      </c>
      <c r="M46" s="645">
        <v>2</v>
      </c>
      <c r="N46" s="645">
        <v>1</v>
      </c>
    </row>
    <row r="47" spans="1:14" s="266" customFormat="1" ht="12.75" thickBot="1">
      <c r="A47" s="1168"/>
      <c r="B47" s="1170"/>
      <c r="C47" s="1183"/>
      <c r="D47" s="1174"/>
      <c r="E47" s="1174"/>
      <c r="F47" s="1170"/>
      <c r="G47" s="1179"/>
      <c r="H47" s="1179"/>
      <c r="I47" s="824">
        <f t="shared" si="0"/>
        <v>0</v>
      </c>
      <c r="J47" s="809">
        <v>0</v>
      </c>
      <c r="K47" s="853">
        <v>0</v>
      </c>
      <c r="L47" s="824">
        <f t="shared" si="1"/>
        <v>34</v>
      </c>
      <c r="M47" s="809">
        <v>24</v>
      </c>
      <c r="N47" s="809">
        <v>10</v>
      </c>
    </row>
    <row r="48" spans="1:14" s="266" customFormat="1" ht="12">
      <c r="A48" s="1167">
        <v>17</v>
      </c>
      <c r="B48" s="1169" t="s">
        <v>828</v>
      </c>
      <c r="C48" s="1182" t="s">
        <v>136</v>
      </c>
      <c r="D48" s="1173" t="s">
        <v>27</v>
      </c>
      <c r="E48" s="1173" t="s">
        <v>1193</v>
      </c>
      <c r="F48" s="1184">
        <f>G48+H48</f>
        <v>5.061999999999999</v>
      </c>
      <c r="G48" s="1184">
        <v>2.67</v>
      </c>
      <c r="H48" s="1184">
        <v>2.392</v>
      </c>
      <c r="I48" s="644">
        <f aca="true" t="shared" si="2" ref="I48:I55">J48+K48</f>
        <v>0</v>
      </c>
      <c r="J48" s="645">
        <v>0</v>
      </c>
      <c r="K48" s="646">
        <v>0</v>
      </c>
      <c r="L48" s="644">
        <f aca="true" t="shared" si="3" ref="L48:L55">M48+N48</f>
        <v>5</v>
      </c>
      <c r="M48" s="645">
        <v>1</v>
      </c>
      <c r="N48" s="645">
        <v>4</v>
      </c>
    </row>
    <row r="49" spans="1:14" s="266" customFormat="1" ht="12.75" thickBot="1">
      <c r="A49" s="1168"/>
      <c r="B49" s="1170"/>
      <c r="C49" s="1183"/>
      <c r="D49" s="1174"/>
      <c r="E49" s="1174"/>
      <c r="F49" s="1185"/>
      <c r="G49" s="1185"/>
      <c r="H49" s="1185"/>
      <c r="I49" s="824">
        <f t="shared" si="2"/>
        <v>0</v>
      </c>
      <c r="J49" s="809">
        <v>0</v>
      </c>
      <c r="K49" s="853">
        <v>0</v>
      </c>
      <c r="L49" s="824">
        <f t="shared" si="3"/>
        <v>72</v>
      </c>
      <c r="M49" s="809">
        <v>14</v>
      </c>
      <c r="N49" s="809">
        <v>58</v>
      </c>
    </row>
    <row r="50" spans="1:14" s="266" customFormat="1" ht="12">
      <c r="A50" s="1167">
        <v>18</v>
      </c>
      <c r="B50" s="1169" t="s">
        <v>830</v>
      </c>
      <c r="C50" s="1182" t="s">
        <v>130</v>
      </c>
      <c r="D50" s="1173" t="s">
        <v>27</v>
      </c>
      <c r="E50" s="1173" t="s">
        <v>131</v>
      </c>
      <c r="F50" s="1367">
        <f>G50+H50</f>
        <v>31</v>
      </c>
      <c r="G50" s="1178">
        <v>31</v>
      </c>
      <c r="H50" s="1178">
        <v>0</v>
      </c>
      <c r="I50" s="644">
        <f t="shared" si="2"/>
        <v>5</v>
      </c>
      <c r="J50" s="645">
        <v>5</v>
      </c>
      <c r="K50" s="646">
        <v>0</v>
      </c>
      <c r="L50" s="644">
        <f t="shared" si="3"/>
        <v>27</v>
      </c>
      <c r="M50" s="645">
        <v>26</v>
      </c>
      <c r="N50" s="645">
        <v>1</v>
      </c>
    </row>
    <row r="51" spans="1:14" s="266" customFormat="1" ht="12.75" thickBot="1">
      <c r="A51" s="1168"/>
      <c r="B51" s="1170"/>
      <c r="C51" s="1183"/>
      <c r="D51" s="1174"/>
      <c r="E51" s="1174"/>
      <c r="F51" s="1368"/>
      <c r="G51" s="1179"/>
      <c r="H51" s="1179"/>
      <c r="I51" s="824">
        <f t="shared" si="2"/>
        <v>203.04</v>
      </c>
      <c r="J51" s="809">
        <v>203.04</v>
      </c>
      <c r="K51" s="853">
        <v>0</v>
      </c>
      <c r="L51" s="824">
        <f t="shared" si="3"/>
        <v>586</v>
      </c>
      <c r="M51" s="809">
        <v>573</v>
      </c>
      <c r="N51" s="809">
        <v>13</v>
      </c>
    </row>
    <row r="52" spans="1:14" s="266" customFormat="1" ht="12">
      <c r="A52" s="1167">
        <v>19</v>
      </c>
      <c r="B52" s="1169" t="s">
        <v>829</v>
      </c>
      <c r="C52" s="1182" t="s">
        <v>647</v>
      </c>
      <c r="D52" s="1173" t="s">
        <v>27</v>
      </c>
      <c r="E52" s="1173" t="s">
        <v>139</v>
      </c>
      <c r="F52" s="1169">
        <f>G52+H52</f>
        <v>9.4</v>
      </c>
      <c r="G52" s="1184">
        <v>4.835</v>
      </c>
      <c r="H52" s="1184">
        <v>4.565</v>
      </c>
      <c r="I52" s="644">
        <f t="shared" si="2"/>
        <v>1</v>
      </c>
      <c r="J52" s="645">
        <v>1</v>
      </c>
      <c r="K52" s="646">
        <v>0</v>
      </c>
      <c r="L52" s="644">
        <f t="shared" si="3"/>
        <v>6</v>
      </c>
      <c r="M52" s="645">
        <v>1</v>
      </c>
      <c r="N52" s="645">
        <v>5</v>
      </c>
    </row>
    <row r="53" spans="1:14" s="266" customFormat="1" ht="12.75" thickBot="1">
      <c r="A53" s="1168"/>
      <c r="B53" s="1170"/>
      <c r="C53" s="1183"/>
      <c r="D53" s="1174"/>
      <c r="E53" s="1174"/>
      <c r="F53" s="1170"/>
      <c r="G53" s="1185"/>
      <c r="H53" s="1185"/>
      <c r="I53" s="825">
        <f t="shared" si="2"/>
        <v>30</v>
      </c>
      <c r="J53" s="650">
        <f>28.77+1.23</f>
        <v>30</v>
      </c>
      <c r="K53" s="853">
        <v>0</v>
      </c>
      <c r="L53" s="824">
        <f t="shared" si="3"/>
        <v>78</v>
      </c>
      <c r="M53" s="809">
        <v>13</v>
      </c>
      <c r="N53" s="809">
        <v>65</v>
      </c>
    </row>
    <row r="54" spans="1:14" s="266" customFormat="1" ht="12">
      <c r="A54" s="1167">
        <v>20</v>
      </c>
      <c r="B54" s="1169" t="s">
        <v>1125</v>
      </c>
      <c r="C54" s="1182" t="s">
        <v>134</v>
      </c>
      <c r="D54" s="1173" t="s">
        <v>27</v>
      </c>
      <c r="E54" s="1173" t="s">
        <v>13</v>
      </c>
      <c r="F54" s="1367">
        <f>G54+H54</f>
        <v>1</v>
      </c>
      <c r="G54" s="1178">
        <v>1</v>
      </c>
      <c r="H54" s="1178">
        <v>0</v>
      </c>
      <c r="I54" s="644">
        <f t="shared" si="2"/>
        <v>0</v>
      </c>
      <c r="J54" s="645">
        <v>0</v>
      </c>
      <c r="K54" s="646">
        <v>0</v>
      </c>
      <c r="L54" s="644">
        <f t="shared" si="3"/>
        <v>0</v>
      </c>
      <c r="M54" s="645">
        <v>0</v>
      </c>
      <c r="N54" s="645">
        <v>0</v>
      </c>
    </row>
    <row r="55" spans="1:14" s="266" customFormat="1" ht="12.75" thickBot="1">
      <c r="A55" s="1168"/>
      <c r="B55" s="1170"/>
      <c r="C55" s="1183"/>
      <c r="D55" s="1174"/>
      <c r="E55" s="1174"/>
      <c r="F55" s="1368"/>
      <c r="G55" s="1179"/>
      <c r="H55" s="1179"/>
      <c r="I55" s="824">
        <f t="shared" si="2"/>
        <v>0</v>
      </c>
      <c r="J55" s="809">
        <v>0</v>
      </c>
      <c r="K55" s="853">
        <v>0</v>
      </c>
      <c r="L55" s="824">
        <f t="shared" si="3"/>
        <v>0</v>
      </c>
      <c r="M55" s="809">
        <v>0</v>
      </c>
      <c r="N55" s="809">
        <v>0</v>
      </c>
    </row>
    <row r="56" spans="1:14" s="266" customFormat="1" ht="12">
      <c r="A56" s="1167">
        <v>21</v>
      </c>
      <c r="B56" s="1169" t="s">
        <v>1151</v>
      </c>
      <c r="C56" s="1182" t="s">
        <v>126</v>
      </c>
      <c r="D56" s="1173" t="s">
        <v>102</v>
      </c>
      <c r="E56" s="1173" t="s">
        <v>705</v>
      </c>
      <c r="F56" s="1184">
        <f>G56+H56</f>
        <v>5.919</v>
      </c>
      <c r="G56" s="1184">
        <v>5.919</v>
      </c>
      <c r="H56" s="1178">
        <v>0</v>
      </c>
      <c r="I56" s="644">
        <f t="shared" si="0"/>
        <v>0</v>
      </c>
      <c r="J56" s="645">
        <v>0</v>
      </c>
      <c r="K56" s="646">
        <v>0</v>
      </c>
      <c r="L56" s="644">
        <f t="shared" si="1"/>
        <v>7</v>
      </c>
      <c r="M56" s="645">
        <v>7</v>
      </c>
      <c r="N56" s="645">
        <v>0</v>
      </c>
    </row>
    <row r="57" spans="1:14" s="266" customFormat="1" ht="12.75" thickBot="1">
      <c r="A57" s="1168"/>
      <c r="B57" s="1170"/>
      <c r="C57" s="1183"/>
      <c r="D57" s="1174"/>
      <c r="E57" s="1174"/>
      <c r="F57" s="1185"/>
      <c r="G57" s="1185"/>
      <c r="H57" s="1179"/>
      <c r="I57" s="824">
        <f t="shared" si="0"/>
        <v>0</v>
      </c>
      <c r="J57" s="809">
        <v>0</v>
      </c>
      <c r="K57" s="853">
        <v>0</v>
      </c>
      <c r="L57" s="824">
        <f t="shared" si="1"/>
        <v>136</v>
      </c>
      <c r="M57" s="809">
        <v>136</v>
      </c>
      <c r="N57" s="809">
        <v>0</v>
      </c>
    </row>
    <row r="58" spans="1:14" s="266" customFormat="1" ht="12">
      <c r="A58" s="1167">
        <v>22</v>
      </c>
      <c r="B58" s="1169" t="s">
        <v>1152</v>
      </c>
      <c r="C58" s="1182" t="s">
        <v>127</v>
      </c>
      <c r="D58" s="1173" t="s">
        <v>27</v>
      </c>
      <c r="E58" s="1173" t="s">
        <v>706</v>
      </c>
      <c r="F58" s="1169">
        <f>G58+H58</f>
        <v>2.553</v>
      </c>
      <c r="G58" s="1184">
        <v>2.553</v>
      </c>
      <c r="H58" s="1184">
        <v>0</v>
      </c>
      <c r="I58" s="644">
        <f t="shared" si="0"/>
        <v>0</v>
      </c>
      <c r="J58" s="645">
        <v>0</v>
      </c>
      <c r="K58" s="646">
        <v>0</v>
      </c>
      <c r="L58" s="644">
        <f t="shared" si="1"/>
        <v>3</v>
      </c>
      <c r="M58" s="645">
        <v>3</v>
      </c>
      <c r="N58" s="645">
        <v>0</v>
      </c>
    </row>
    <row r="59" spans="1:14" s="266" customFormat="1" ht="12.75" thickBot="1">
      <c r="A59" s="1168"/>
      <c r="B59" s="1170"/>
      <c r="C59" s="1183"/>
      <c r="D59" s="1174"/>
      <c r="E59" s="1174"/>
      <c r="F59" s="1170"/>
      <c r="G59" s="1185"/>
      <c r="H59" s="1185"/>
      <c r="I59" s="824">
        <f t="shared" si="0"/>
        <v>0</v>
      </c>
      <c r="J59" s="809">
        <v>0</v>
      </c>
      <c r="K59" s="853">
        <v>0</v>
      </c>
      <c r="L59" s="824">
        <f t="shared" si="1"/>
        <v>45</v>
      </c>
      <c r="M59" s="809">
        <v>45</v>
      </c>
      <c r="N59" s="809">
        <v>0</v>
      </c>
    </row>
    <row r="60" spans="1:14" s="266" customFormat="1" ht="12" customHeight="1" hidden="1" thickBot="1">
      <c r="A60" s="1164"/>
      <c r="B60" s="1164" t="s">
        <v>798</v>
      </c>
      <c r="C60" s="1332"/>
      <c r="D60" s="1166"/>
      <c r="E60" s="1166"/>
      <c r="F60" s="1164"/>
      <c r="G60" s="1161"/>
      <c r="H60" s="1161"/>
      <c r="I60" s="652"/>
      <c r="J60" s="706"/>
      <c r="K60" s="654"/>
      <c r="L60" s="652"/>
      <c r="M60" s="706"/>
      <c r="N60" s="706"/>
    </row>
    <row r="61" spans="1:14" s="266" customFormat="1" ht="12" customHeight="1" hidden="1">
      <c r="A61" s="1164"/>
      <c r="B61" s="1164"/>
      <c r="C61" s="1332"/>
      <c r="D61" s="1166"/>
      <c r="E61" s="1166"/>
      <c r="F61" s="1164"/>
      <c r="G61" s="1161"/>
      <c r="H61" s="1161"/>
      <c r="I61" s="831"/>
      <c r="J61" s="605"/>
      <c r="K61" s="852"/>
      <c r="L61" s="652"/>
      <c r="M61" s="605"/>
      <c r="N61" s="605"/>
    </row>
    <row r="62" spans="1:14" s="266" customFormat="1" ht="12" customHeight="1">
      <c r="A62" s="1167">
        <v>23</v>
      </c>
      <c r="B62" s="1169" t="s">
        <v>1201</v>
      </c>
      <c r="C62" s="1182" t="s">
        <v>1197</v>
      </c>
      <c r="D62" s="1173" t="s">
        <v>27</v>
      </c>
      <c r="E62" s="1173" t="s">
        <v>1198</v>
      </c>
      <c r="F62" s="1169">
        <f>G62+H62</f>
        <v>5.2</v>
      </c>
      <c r="G62" s="1184">
        <v>5.2</v>
      </c>
      <c r="H62" s="1178"/>
      <c r="I62" s="644">
        <f t="shared" si="0"/>
        <v>1</v>
      </c>
      <c r="J62" s="645">
        <v>1</v>
      </c>
      <c r="K62" s="646">
        <v>0</v>
      </c>
      <c r="L62" s="644">
        <f t="shared" si="1"/>
        <v>6</v>
      </c>
      <c r="M62" s="645">
        <v>4</v>
      </c>
      <c r="N62" s="645">
        <v>2</v>
      </c>
    </row>
    <row r="63" spans="1:14" s="266" customFormat="1" ht="12" customHeight="1" thickBot="1">
      <c r="A63" s="1168"/>
      <c r="B63" s="1170"/>
      <c r="C63" s="1183"/>
      <c r="D63" s="1174"/>
      <c r="E63" s="1174"/>
      <c r="F63" s="1170"/>
      <c r="G63" s="1185"/>
      <c r="H63" s="1179"/>
      <c r="I63" s="824">
        <f t="shared" si="0"/>
        <v>34.28</v>
      </c>
      <c r="J63" s="809">
        <v>34.28</v>
      </c>
      <c r="K63" s="853">
        <v>0</v>
      </c>
      <c r="L63" s="707">
        <f t="shared" si="1"/>
        <v>115</v>
      </c>
      <c r="M63" s="809">
        <v>86</v>
      </c>
      <c r="N63" s="809">
        <v>29</v>
      </c>
    </row>
    <row r="64" spans="1:14" s="266" customFormat="1" ht="13.5" customHeight="1" hidden="1" thickBot="1">
      <c r="A64" s="1164"/>
      <c r="B64" s="1164" t="s">
        <v>803</v>
      </c>
      <c r="C64" s="1332"/>
      <c r="D64" s="1166"/>
      <c r="E64" s="1166"/>
      <c r="F64" s="1164">
        <f>G64+H64</f>
        <v>0</v>
      </c>
      <c r="G64" s="1161"/>
      <c r="H64" s="1161"/>
      <c r="I64" s="652">
        <f t="shared" si="0"/>
        <v>0</v>
      </c>
      <c r="J64" s="706"/>
      <c r="K64" s="654"/>
      <c r="L64" s="652">
        <f t="shared" si="1"/>
        <v>0</v>
      </c>
      <c r="M64" s="706"/>
      <c r="N64" s="706"/>
    </row>
    <row r="65" spans="1:14" s="266" customFormat="1" ht="13.5" customHeight="1" hidden="1">
      <c r="A65" s="1164"/>
      <c r="B65" s="1164"/>
      <c r="C65" s="1332"/>
      <c r="D65" s="1166"/>
      <c r="E65" s="1166"/>
      <c r="F65" s="1164"/>
      <c r="G65" s="1161"/>
      <c r="H65" s="1161"/>
      <c r="I65" s="831">
        <f t="shared" si="0"/>
        <v>0</v>
      </c>
      <c r="J65" s="605"/>
      <c r="K65" s="852"/>
      <c r="L65" s="652">
        <f t="shared" si="1"/>
        <v>0</v>
      </c>
      <c r="M65" s="605"/>
      <c r="N65" s="605"/>
    </row>
    <row r="66" spans="1:14" s="266" customFormat="1" ht="12">
      <c r="A66" s="1167">
        <v>24</v>
      </c>
      <c r="B66" s="1169" t="s">
        <v>1160</v>
      </c>
      <c r="C66" s="1182" t="s">
        <v>720</v>
      </c>
      <c r="D66" s="1173" t="s">
        <v>49</v>
      </c>
      <c r="E66" s="1173" t="s">
        <v>721</v>
      </c>
      <c r="F66" s="1169">
        <f>G66+H66</f>
        <v>2.627</v>
      </c>
      <c r="G66" s="1184">
        <v>2.627</v>
      </c>
      <c r="H66" s="1184"/>
      <c r="I66" s="644">
        <f>J66+K66</f>
        <v>0</v>
      </c>
      <c r="J66" s="645">
        <v>0</v>
      </c>
      <c r="K66" s="646">
        <v>0</v>
      </c>
      <c r="L66" s="644">
        <f>M66+N66</f>
        <v>5</v>
      </c>
      <c r="M66" s="645">
        <v>1</v>
      </c>
      <c r="N66" s="645">
        <v>4</v>
      </c>
    </row>
    <row r="67" spans="1:14" s="266" customFormat="1" ht="12.75" thickBot="1">
      <c r="A67" s="1168"/>
      <c r="B67" s="1170"/>
      <c r="C67" s="1183"/>
      <c r="D67" s="1174"/>
      <c r="E67" s="1174"/>
      <c r="F67" s="1170"/>
      <c r="G67" s="1185"/>
      <c r="H67" s="1185"/>
      <c r="I67" s="824">
        <f>J67+K67</f>
        <v>0</v>
      </c>
      <c r="J67" s="809">
        <v>0</v>
      </c>
      <c r="K67" s="853">
        <v>0</v>
      </c>
      <c r="L67" s="824">
        <f>M67+N67</f>
        <v>41</v>
      </c>
      <c r="M67" s="809">
        <v>10</v>
      </c>
      <c r="N67" s="809">
        <v>31</v>
      </c>
    </row>
    <row r="68" spans="1:14" s="266" customFormat="1" ht="13.5" customHeight="1">
      <c r="A68" s="1228">
        <v>25</v>
      </c>
      <c r="B68" s="1189" t="s">
        <v>1159</v>
      </c>
      <c r="C68" s="1191" t="s">
        <v>528</v>
      </c>
      <c r="D68" s="1199" t="s">
        <v>450</v>
      </c>
      <c r="E68" s="1199" t="s">
        <v>538</v>
      </c>
      <c r="F68" s="1189">
        <f>G68+H68</f>
        <v>8.601</v>
      </c>
      <c r="G68" s="1186">
        <v>8.601</v>
      </c>
      <c r="H68" s="1197">
        <v>0</v>
      </c>
      <c r="I68" s="826">
        <f aca="true" t="shared" si="4" ref="I68:I76">J68+K68</f>
        <v>0</v>
      </c>
      <c r="J68" s="534"/>
      <c r="K68" s="866"/>
      <c r="L68" s="502">
        <f t="shared" si="1"/>
        <v>6</v>
      </c>
      <c r="M68" s="534">
        <v>1</v>
      </c>
      <c r="N68" s="534">
        <v>5</v>
      </c>
    </row>
    <row r="69" spans="1:14" s="266" customFormat="1" ht="13.5" customHeight="1">
      <c r="A69" s="1339"/>
      <c r="B69" s="1341"/>
      <c r="C69" s="1340"/>
      <c r="D69" s="1338"/>
      <c r="E69" s="1338"/>
      <c r="F69" s="1369"/>
      <c r="G69" s="1350"/>
      <c r="H69" s="1345"/>
      <c r="I69" s="848">
        <f t="shared" si="4"/>
        <v>0</v>
      </c>
      <c r="J69" s="507"/>
      <c r="K69" s="864"/>
      <c r="L69" s="848">
        <f t="shared" si="1"/>
        <v>428</v>
      </c>
      <c r="M69" s="507">
        <v>38</v>
      </c>
      <c r="N69" s="507">
        <v>390</v>
      </c>
    </row>
    <row r="70" spans="1:14" s="293" customFormat="1" ht="13.5" customHeight="1">
      <c r="A70" s="1339"/>
      <c r="B70" s="535"/>
      <c r="C70" s="536" t="s">
        <v>4</v>
      </c>
      <c r="D70" s="537" t="s">
        <v>657</v>
      </c>
      <c r="E70" s="537"/>
      <c r="F70" s="531">
        <v>8.601</v>
      </c>
      <c r="G70" s="538"/>
      <c r="H70" s="539"/>
      <c r="I70" s="523"/>
      <c r="J70" s="540"/>
      <c r="K70" s="541"/>
      <c r="L70" s="542"/>
      <c r="M70" s="540"/>
      <c r="N70" s="540"/>
    </row>
    <row r="71" spans="1:14" s="266" customFormat="1" ht="13.5" customHeight="1">
      <c r="A71" s="1339"/>
      <c r="B71" s="1373"/>
      <c r="C71" s="858" t="s">
        <v>604</v>
      </c>
      <c r="D71" s="1381" t="s">
        <v>511</v>
      </c>
      <c r="E71" s="1381"/>
      <c r="F71" s="1370">
        <f>G71+H71</f>
        <v>1.074</v>
      </c>
      <c r="G71" s="1380">
        <v>1.074</v>
      </c>
      <c r="H71" s="1385">
        <v>0</v>
      </c>
      <c r="I71" s="861">
        <f t="shared" si="4"/>
        <v>1</v>
      </c>
      <c r="J71" s="861">
        <v>0</v>
      </c>
      <c r="K71" s="861">
        <v>1</v>
      </c>
      <c r="L71" s="509">
        <f t="shared" si="1"/>
        <v>4</v>
      </c>
      <c r="M71" s="861"/>
      <c r="N71" s="861">
        <v>4</v>
      </c>
    </row>
    <row r="72" spans="1:14" s="266" customFormat="1" ht="13.5" customHeight="1">
      <c r="A72" s="1339"/>
      <c r="B72" s="1360"/>
      <c r="C72" s="849"/>
      <c r="D72" s="1381"/>
      <c r="E72" s="1381"/>
      <c r="F72" s="1370"/>
      <c r="G72" s="1380"/>
      <c r="H72" s="1385"/>
      <c r="I72" s="848">
        <f t="shared" si="4"/>
        <v>88.94</v>
      </c>
      <c r="J72" s="848">
        <v>0</v>
      </c>
      <c r="K72" s="848">
        <v>88.94</v>
      </c>
      <c r="L72" s="848">
        <f t="shared" si="1"/>
        <v>64</v>
      </c>
      <c r="M72" s="848"/>
      <c r="N72" s="848">
        <v>64</v>
      </c>
    </row>
    <row r="73" spans="1:14" s="266" customFormat="1" ht="13.5" customHeight="1">
      <c r="A73" s="1339"/>
      <c r="B73" s="1360"/>
      <c r="C73" s="849" t="s">
        <v>4</v>
      </c>
      <c r="D73" s="856" t="s">
        <v>102</v>
      </c>
      <c r="E73" s="856"/>
      <c r="F73" s="859">
        <f>G73+H73</f>
        <v>0.249</v>
      </c>
      <c r="G73" s="859">
        <v>0.249</v>
      </c>
      <c r="H73" s="857"/>
      <c r="I73" s="860"/>
      <c r="J73" s="525"/>
      <c r="K73" s="861"/>
      <c r="L73" s="861"/>
      <c r="M73" s="861"/>
      <c r="N73" s="861"/>
    </row>
    <row r="74" spans="1:14" s="266" customFormat="1" ht="13.5" customHeight="1">
      <c r="A74" s="1339"/>
      <c r="B74" s="1374"/>
      <c r="C74" s="849"/>
      <c r="D74" s="856" t="s">
        <v>27</v>
      </c>
      <c r="E74" s="856"/>
      <c r="F74" s="859">
        <f>G74+H74</f>
        <v>0.825</v>
      </c>
      <c r="G74" s="859">
        <v>0.825</v>
      </c>
      <c r="H74" s="857"/>
      <c r="I74" s="860"/>
      <c r="J74" s="525"/>
      <c r="K74" s="848"/>
      <c r="L74" s="848"/>
      <c r="M74" s="848"/>
      <c r="N74" s="848"/>
    </row>
    <row r="75" spans="1:14" s="266" customFormat="1" ht="13.5" customHeight="1">
      <c r="A75" s="1339"/>
      <c r="B75" s="1373"/>
      <c r="C75" s="1378" t="s">
        <v>605</v>
      </c>
      <c r="D75" s="1375" t="s">
        <v>620</v>
      </c>
      <c r="E75" s="1384"/>
      <c r="F75" s="1371">
        <f>G75+H75</f>
        <v>1.58</v>
      </c>
      <c r="G75" s="1371">
        <v>1.58</v>
      </c>
      <c r="H75" s="1377">
        <v>0</v>
      </c>
      <c r="I75" s="861">
        <f t="shared" si="4"/>
        <v>1</v>
      </c>
      <c r="J75" s="861">
        <v>1</v>
      </c>
      <c r="K75" s="861">
        <v>0</v>
      </c>
      <c r="L75" s="509">
        <f>M75+N75</f>
        <v>1</v>
      </c>
      <c r="M75" s="861">
        <v>1</v>
      </c>
      <c r="N75" s="861"/>
    </row>
    <row r="76" spans="1:14" s="266" customFormat="1" ht="26.25" customHeight="1">
      <c r="A76" s="1339"/>
      <c r="B76" s="1360"/>
      <c r="C76" s="1340"/>
      <c r="D76" s="1376"/>
      <c r="E76" s="1387"/>
      <c r="F76" s="1369"/>
      <c r="G76" s="1379"/>
      <c r="H76" s="1386"/>
      <c r="I76" s="848">
        <f t="shared" si="4"/>
        <v>85.35</v>
      </c>
      <c r="J76" s="848">
        <v>85.35</v>
      </c>
      <c r="K76" s="848">
        <v>0</v>
      </c>
      <c r="L76" s="848">
        <f>M76+N76</f>
        <v>27</v>
      </c>
      <c r="M76" s="848">
        <v>27</v>
      </c>
      <c r="N76" s="848"/>
    </row>
    <row r="77" spans="1:14" s="266" customFormat="1" ht="13.5" customHeight="1">
      <c r="A77" s="1339"/>
      <c r="B77" s="1360"/>
      <c r="C77" s="849" t="s">
        <v>4</v>
      </c>
      <c r="D77" s="544" t="s">
        <v>100</v>
      </c>
      <c r="E77" s="856"/>
      <c r="F77" s="859">
        <f>G77+H77</f>
        <v>0.377</v>
      </c>
      <c r="G77" s="859">
        <v>0.377</v>
      </c>
      <c r="H77" s="857"/>
      <c r="I77" s="860"/>
      <c r="J77" s="525"/>
      <c r="K77" s="863"/>
      <c r="L77" s="860"/>
      <c r="M77" s="525"/>
      <c r="N77" s="525"/>
    </row>
    <row r="78" spans="1:14" s="266" customFormat="1" ht="13.5" customHeight="1">
      <c r="A78" s="1339"/>
      <c r="B78" s="1360"/>
      <c r="C78" s="849"/>
      <c r="D78" s="544" t="s">
        <v>102</v>
      </c>
      <c r="E78" s="856"/>
      <c r="F78" s="859">
        <f>G78+H78</f>
        <v>0.992</v>
      </c>
      <c r="G78" s="859">
        <v>0.992</v>
      </c>
      <c r="H78" s="857"/>
      <c r="I78" s="860"/>
      <c r="J78" s="525"/>
      <c r="K78" s="863"/>
      <c r="L78" s="860"/>
      <c r="M78" s="525"/>
      <c r="N78" s="525"/>
    </row>
    <row r="79" spans="1:14" s="266" customFormat="1" ht="13.5" customHeight="1">
      <c r="A79" s="1339"/>
      <c r="B79" s="1374"/>
      <c r="C79" s="874"/>
      <c r="D79" s="544" t="s">
        <v>27</v>
      </c>
      <c r="E79" s="856"/>
      <c r="F79" s="859">
        <f>G79+H79</f>
        <v>0.211</v>
      </c>
      <c r="G79" s="859">
        <v>0.211</v>
      </c>
      <c r="H79" s="857"/>
      <c r="I79" s="848"/>
      <c r="J79" s="507"/>
      <c r="K79" s="864"/>
      <c r="L79" s="848"/>
      <c r="M79" s="507"/>
      <c r="N79" s="507"/>
    </row>
    <row r="80" spans="1:14" s="266" customFormat="1" ht="13.5" customHeight="1">
      <c r="A80" s="1339"/>
      <c r="B80" s="1372"/>
      <c r="C80" s="1340" t="s">
        <v>553</v>
      </c>
      <c r="D80" s="1384" t="s">
        <v>102</v>
      </c>
      <c r="E80" s="1384" t="s">
        <v>595</v>
      </c>
      <c r="F80" s="1371">
        <f>G80+H80</f>
        <v>1.114</v>
      </c>
      <c r="G80" s="1371">
        <v>1.114</v>
      </c>
      <c r="H80" s="1377">
        <v>0</v>
      </c>
      <c r="I80" s="861">
        <v>0</v>
      </c>
      <c r="J80" s="545">
        <v>0</v>
      </c>
      <c r="K80" s="862">
        <v>0</v>
      </c>
      <c r="L80" s="509">
        <f>M80+N80</f>
        <v>4</v>
      </c>
      <c r="M80" s="545">
        <v>1</v>
      </c>
      <c r="N80" s="545">
        <v>3</v>
      </c>
    </row>
    <row r="81" spans="1:14" s="266" customFormat="1" ht="13.5" customHeight="1" thickBot="1">
      <c r="A81" s="1229"/>
      <c r="B81" s="1190"/>
      <c r="C81" s="1192"/>
      <c r="D81" s="1200"/>
      <c r="E81" s="1200"/>
      <c r="F81" s="1187"/>
      <c r="G81" s="1187"/>
      <c r="H81" s="1198"/>
      <c r="I81" s="827">
        <v>0</v>
      </c>
      <c r="J81" s="589">
        <v>0</v>
      </c>
      <c r="K81" s="867">
        <v>0</v>
      </c>
      <c r="L81" s="546">
        <f>M81+N81</f>
        <v>42</v>
      </c>
      <c r="M81" s="589">
        <v>26</v>
      </c>
      <c r="N81" s="589">
        <v>16</v>
      </c>
    </row>
    <row r="82" spans="1:14" s="272" customFormat="1" ht="24.75" customHeight="1">
      <c r="A82" s="1382"/>
      <c r="B82" s="655"/>
      <c r="C82" s="1189" t="s">
        <v>229</v>
      </c>
      <c r="D82" s="1189"/>
      <c r="E82" s="1189"/>
      <c r="F82" s="1186">
        <f aca="true" t="shared" si="5" ref="F82:N82">F8+F10+F14+F18+F20+F22+F24+F26+F28+F30+F32+F34+F36+F38+F42+F44+F46+F56+F58+F50+F60+F54+F48+F62+F52+F64+F68+F71+F75+F80+F66</f>
        <v>213.06900000000005</v>
      </c>
      <c r="G82" s="1186">
        <f t="shared" si="5"/>
        <v>189.30500000000004</v>
      </c>
      <c r="H82" s="1186">
        <f t="shared" si="5"/>
        <v>23.764</v>
      </c>
      <c r="I82" s="696">
        <f t="shared" si="5"/>
        <v>20</v>
      </c>
      <c r="J82" s="696">
        <f t="shared" si="5"/>
        <v>18</v>
      </c>
      <c r="K82" s="696">
        <f t="shared" si="5"/>
        <v>2</v>
      </c>
      <c r="L82" s="696">
        <f t="shared" si="5"/>
        <v>240</v>
      </c>
      <c r="M82" s="696">
        <f t="shared" si="5"/>
        <v>158</v>
      </c>
      <c r="N82" s="696">
        <f t="shared" si="5"/>
        <v>82</v>
      </c>
    </row>
    <row r="83" spans="1:14" s="272" customFormat="1" ht="12.75" thickBot="1">
      <c r="A83" s="1383"/>
      <c r="B83" s="657"/>
      <c r="C83" s="1190"/>
      <c r="D83" s="1190"/>
      <c r="E83" s="1190"/>
      <c r="F83" s="1187"/>
      <c r="G83" s="1187"/>
      <c r="H83" s="1187"/>
      <c r="I83" s="708">
        <f aca="true" t="shared" si="6" ref="I83:N83">I9+I11+I15+I19+I21+I23+I25+I27+I29+I31+I33+I35+I37+I39+I43+I45+I47+I57+I59+I51+I61+I55+I49+I63+I53+I65+I69+I72+I76+I81+I67</f>
        <v>886.62</v>
      </c>
      <c r="J83" s="708">
        <f t="shared" si="6"/>
        <v>757.81</v>
      </c>
      <c r="K83" s="708">
        <f t="shared" si="6"/>
        <v>128.81</v>
      </c>
      <c r="L83" s="709">
        <f t="shared" si="6"/>
        <v>5048</v>
      </c>
      <c r="M83" s="709">
        <f t="shared" si="6"/>
        <v>3700</v>
      </c>
      <c r="N83" s="709">
        <f t="shared" si="6"/>
        <v>1348</v>
      </c>
    </row>
    <row r="84" spans="1:14" s="266" customFormat="1" ht="12">
      <c r="A84" s="462"/>
      <c r="B84" s="462"/>
      <c r="C84" s="1329"/>
      <c r="D84" s="463" t="s">
        <v>450</v>
      </c>
      <c r="E84" s="464"/>
      <c r="F84" s="465">
        <f>SUMIF($D$8:$D$82,"=I",F8:F82)</f>
        <v>8.601</v>
      </c>
      <c r="G84" s="465">
        <f>SUMIF($D$8:$D$82,"=I",G8:G82)</f>
        <v>8.601</v>
      </c>
      <c r="H84" s="465">
        <f>SUMIF($D$8:$D$82,"=I",H8:H82)</f>
        <v>0</v>
      </c>
      <c r="I84" s="393"/>
      <c r="J84" s="393"/>
      <c r="K84" s="393"/>
      <c r="L84" s="393"/>
      <c r="M84" s="393"/>
      <c r="N84" s="393"/>
    </row>
    <row r="85" spans="1:14" s="266" customFormat="1" ht="12">
      <c r="A85" s="462"/>
      <c r="B85" s="462"/>
      <c r="C85" s="1330"/>
      <c r="D85" s="466" t="s">
        <v>100</v>
      </c>
      <c r="E85" s="467"/>
      <c r="F85" s="468">
        <f>SUMIF($D$8:$D$82,"=II",F8:F82)</f>
        <v>0.377</v>
      </c>
      <c r="G85" s="468">
        <f>SUMIF($D$8:$D$82,"=II",G8:G82)</f>
        <v>0.377</v>
      </c>
      <c r="H85" s="468">
        <f>SUMIF($D$8:$D$82,"=II",H8:H82)</f>
        <v>0</v>
      </c>
      <c r="I85" s="393"/>
      <c r="J85" s="393"/>
      <c r="K85" s="393"/>
      <c r="L85" s="393"/>
      <c r="M85" s="393"/>
      <c r="N85" s="393"/>
    </row>
    <row r="86" spans="1:14" s="266" customFormat="1" ht="12">
      <c r="A86" s="462"/>
      <c r="B86" s="462"/>
      <c r="C86" s="1330"/>
      <c r="D86" s="470" t="s">
        <v>102</v>
      </c>
      <c r="E86" s="467"/>
      <c r="F86" s="468">
        <f>SUMIF($D$8:$D$82,"=III",F8:F82)</f>
        <v>57.11899999999999</v>
      </c>
      <c r="G86" s="468">
        <f>SUMIF($D$8:$D$82,"=III",G8:G82)</f>
        <v>57.11899999999999</v>
      </c>
      <c r="H86" s="468">
        <f>SUMIF($D$8:$D$82,"=III",H8:H82)</f>
        <v>0</v>
      </c>
      <c r="I86" s="393"/>
      <c r="J86" s="393"/>
      <c r="K86" s="393"/>
      <c r="L86" s="393"/>
      <c r="M86" s="393"/>
      <c r="N86" s="393"/>
    </row>
    <row r="87" spans="1:14" s="266" customFormat="1" ht="12">
      <c r="A87" s="462"/>
      <c r="B87" s="462"/>
      <c r="C87" s="1330"/>
      <c r="D87" s="467" t="s">
        <v>27</v>
      </c>
      <c r="E87" s="471"/>
      <c r="F87" s="468">
        <f>SUMIF($D$8:$D$82,"=IV",F8:F82)</f>
        <v>140.42199999999997</v>
      </c>
      <c r="G87" s="468">
        <f>SUMIF($D$8:$D$82,"=IV",G8:G82)</f>
        <v>116.658</v>
      </c>
      <c r="H87" s="468">
        <f>SUMIF($D$8:$D$82,"=IV",H8:H82)</f>
        <v>23.764</v>
      </c>
      <c r="I87" s="393"/>
      <c r="J87" s="393"/>
      <c r="K87" s="393"/>
      <c r="L87" s="393"/>
      <c r="M87" s="393"/>
      <c r="N87" s="393"/>
    </row>
    <row r="88" spans="1:14" s="266" customFormat="1" ht="12">
      <c r="A88" s="472"/>
      <c r="B88" s="472"/>
      <c r="C88" s="1330"/>
      <c r="D88" s="467" t="s">
        <v>49</v>
      </c>
      <c r="E88" s="469"/>
      <c r="F88" s="468">
        <f>SUMIF($D$8:$D$82,"=V",F8:F82)</f>
        <v>6.55</v>
      </c>
      <c r="G88" s="468">
        <f>SUMIF($D$8:$D$82,"=V",G8:G82)</f>
        <v>6.55</v>
      </c>
      <c r="H88" s="468">
        <f>SUMIF($D$8:$D$82,"=V",H8:H82)</f>
        <v>0</v>
      </c>
      <c r="I88" s="393"/>
      <c r="J88" s="393"/>
      <c r="K88" s="473"/>
      <c r="L88" s="393"/>
      <c r="M88" s="393"/>
      <c r="N88" s="393"/>
    </row>
    <row r="89" spans="1:14" ht="12.75">
      <c r="A89" s="103"/>
      <c r="B89" s="54"/>
      <c r="C89" s="7"/>
      <c r="D89" s="54"/>
      <c r="E89" s="7"/>
      <c r="F89" s="102"/>
      <c r="G89" s="102"/>
      <c r="H89" s="102"/>
      <c r="I89" s="7"/>
      <c r="J89" s="7"/>
      <c r="K89" s="7"/>
      <c r="L89" s="7"/>
      <c r="M89" s="7"/>
      <c r="N89" s="7"/>
    </row>
    <row r="90" spans="3:7" ht="12.75">
      <c r="C90" s="7"/>
      <c r="D90" s="54"/>
      <c r="G90" s="48"/>
    </row>
    <row r="91" spans="3:4" ht="12.75">
      <c r="C91" s="7"/>
      <c r="D91" s="54"/>
    </row>
    <row r="92" spans="3:10" ht="12.75">
      <c r="C92" s="7"/>
      <c r="D92" s="54"/>
      <c r="J92" s="7"/>
    </row>
    <row r="93" spans="3:10" ht="12.75">
      <c r="C93" s="7"/>
      <c r="D93" s="54"/>
      <c r="J93" s="104"/>
    </row>
    <row r="94" spans="3:4" ht="12.75">
      <c r="C94" s="7"/>
      <c r="D94" s="54"/>
    </row>
    <row r="95" spans="3:4" ht="12.75">
      <c r="C95" s="7"/>
      <c r="D95" s="54"/>
    </row>
    <row r="96" spans="3:4" ht="12.75">
      <c r="C96" s="7"/>
      <c r="D96" s="54"/>
    </row>
    <row r="97" spans="3:4" ht="12.75">
      <c r="C97" s="7"/>
      <c r="D97" s="54"/>
    </row>
    <row r="98" spans="3:4" ht="12.75">
      <c r="C98" s="7"/>
      <c r="D98" s="54"/>
    </row>
    <row r="99" spans="3:4" ht="12.75">
      <c r="C99" s="7"/>
      <c r="D99" s="54"/>
    </row>
    <row r="100" spans="3:4" ht="12.75">
      <c r="C100" s="7"/>
      <c r="D100" s="54"/>
    </row>
    <row r="101" spans="3:4" ht="12.75">
      <c r="C101" s="7"/>
      <c r="D101" s="54"/>
    </row>
    <row r="102" spans="3:4" ht="12.75">
      <c r="C102" s="7"/>
      <c r="D102" s="54"/>
    </row>
    <row r="103" spans="3:4" ht="12.75">
      <c r="C103" s="7"/>
      <c r="D103" s="54"/>
    </row>
    <row r="104" spans="3:4" ht="12.75">
      <c r="C104" s="7"/>
      <c r="D104" s="54"/>
    </row>
    <row r="105" spans="3:4" ht="12.75">
      <c r="C105" s="7"/>
      <c r="D105" s="54"/>
    </row>
    <row r="106" spans="3:4" ht="12.75">
      <c r="C106" s="7"/>
      <c r="D106" s="54"/>
    </row>
    <row r="107" spans="3:4" ht="12.75">
      <c r="C107" s="7"/>
      <c r="D107" s="54"/>
    </row>
    <row r="108" spans="3:4" ht="12.75">
      <c r="C108" s="7"/>
      <c r="D108" s="54"/>
    </row>
    <row r="109" spans="3:4" ht="12.75">
      <c r="C109" s="7"/>
      <c r="D109" s="54"/>
    </row>
    <row r="110" spans="3:4" ht="12.75">
      <c r="C110" s="7"/>
      <c r="D110" s="54"/>
    </row>
  </sheetData>
  <sheetProtection/>
  <mergeCells count="270">
    <mergeCell ref="A38:A41"/>
    <mergeCell ref="B38:B41"/>
    <mergeCell ref="C38:C40"/>
    <mergeCell ref="G46:G47"/>
    <mergeCell ref="H68:H69"/>
    <mergeCell ref="H56:H57"/>
    <mergeCell ref="H46:H47"/>
    <mergeCell ref="H64:H65"/>
    <mergeCell ref="G60:G61"/>
    <mergeCell ref="H60:H61"/>
    <mergeCell ref="H36:H37"/>
    <mergeCell ref="H50:H51"/>
    <mergeCell ref="H58:H59"/>
    <mergeCell ref="H44:H45"/>
    <mergeCell ref="H38:H39"/>
    <mergeCell ref="H42:H43"/>
    <mergeCell ref="G52:G53"/>
    <mergeCell ref="E71:E72"/>
    <mergeCell ref="H48:H49"/>
    <mergeCell ref="F54:F55"/>
    <mergeCell ref="H62:H63"/>
    <mergeCell ref="F62:F63"/>
    <mergeCell ref="G62:G63"/>
    <mergeCell ref="H54:H55"/>
    <mergeCell ref="G54:G55"/>
    <mergeCell ref="G48:G49"/>
    <mergeCell ref="A64:A65"/>
    <mergeCell ref="E68:E69"/>
    <mergeCell ref="E52:E53"/>
    <mergeCell ref="H52:H53"/>
    <mergeCell ref="E80:E81"/>
    <mergeCell ref="D80:D81"/>
    <mergeCell ref="H71:H72"/>
    <mergeCell ref="H75:H76"/>
    <mergeCell ref="E75:E76"/>
    <mergeCell ref="F52:F53"/>
    <mergeCell ref="A82:A83"/>
    <mergeCell ref="G82:G83"/>
    <mergeCell ref="F82:F83"/>
    <mergeCell ref="E82:E83"/>
    <mergeCell ref="C82:C83"/>
    <mergeCell ref="D82:D83"/>
    <mergeCell ref="H82:H83"/>
    <mergeCell ref="F80:F81"/>
    <mergeCell ref="G80:G81"/>
    <mergeCell ref="H80:H81"/>
    <mergeCell ref="C75:C76"/>
    <mergeCell ref="G66:G67"/>
    <mergeCell ref="H66:H67"/>
    <mergeCell ref="G75:G76"/>
    <mergeCell ref="G71:G72"/>
    <mergeCell ref="D71:D72"/>
    <mergeCell ref="F75:F76"/>
    <mergeCell ref="C64:C65"/>
    <mergeCell ref="A68:A81"/>
    <mergeCell ref="B80:B81"/>
    <mergeCell ref="B68:B69"/>
    <mergeCell ref="B75:B79"/>
    <mergeCell ref="B71:B74"/>
    <mergeCell ref="D68:D69"/>
    <mergeCell ref="C80:C81"/>
    <mergeCell ref="D75:D76"/>
    <mergeCell ref="G68:G69"/>
    <mergeCell ref="F68:F69"/>
    <mergeCell ref="F64:F65"/>
    <mergeCell ref="F71:F72"/>
    <mergeCell ref="C68:C69"/>
    <mergeCell ref="E64:E65"/>
    <mergeCell ref="F56:F57"/>
    <mergeCell ref="F58:F59"/>
    <mergeCell ref="D60:D61"/>
    <mergeCell ref="C62:C63"/>
    <mergeCell ref="B64:B65"/>
    <mergeCell ref="G64:G65"/>
    <mergeCell ref="E62:E63"/>
    <mergeCell ref="G56:G57"/>
    <mergeCell ref="G58:G59"/>
    <mergeCell ref="E56:E57"/>
    <mergeCell ref="D54:D55"/>
    <mergeCell ref="D56:D57"/>
    <mergeCell ref="E58:E59"/>
    <mergeCell ref="E46:E47"/>
    <mergeCell ref="F60:F61"/>
    <mergeCell ref="C48:C49"/>
    <mergeCell ref="D48:D49"/>
    <mergeCell ref="E60:E61"/>
    <mergeCell ref="E48:E49"/>
    <mergeCell ref="F46:F47"/>
    <mergeCell ref="B44:B45"/>
    <mergeCell ref="C44:C45"/>
    <mergeCell ref="E54:E55"/>
    <mergeCell ref="B48:B49"/>
    <mergeCell ref="A60:A61"/>
    <mergeCell ref="A54:A55"/>
    <mergeCell ref="B60:B61"/>
    <mergeCell ref="C60:C61"/>
    <mergeCell ref="B54:B55"/>
    <mergeCell ref="C54:C55"/>
    <mergeCell ref="C50:C51"/>
    <mergeCell ref="E50:E51"/>
    <mergeCell ref="E38:E39"/>
    <mergeCell ref="G42:G43"/>
    <mergeCell ref="G38:G39"/>
    <mergeCell ref="C42:C43"/>
    <mergeCell ref="D44:D45"/>
    <mergeCell ref="F48:F49"/>
    <mergeCell ref="F50:F51"/>
    <mergeCell ref="G50:G51"/>
    <mergeCell ref="E34:E35"/>
    <mergeCell ref="F38:F39"/>
    <mergeCell ref="F42:F43"/>
    <mergeCell ref="F34:F35"/>
    <mergeCell ref="G34:G35"/>
    <mergeCell ref="F44:F45"/>
    <mergeCell ref="E42:E43"/>
    <mergeCell ref="G44:G45"/>
    <mergeCell ref="E44:E45"/>
    <mergeCell ref="J6:K6"/>
    <mergeCell ref="G6:G7"/>
    <mergeCell ref="H22:H23"/>
    <mergeCell ref="G28:G29"/>
    <mergeCell ref="H18:H19"/>
    <mergeCell ref="H20:H21"/>
    <mergeCell ref="H10:H11"/>
    <mergeCell ref="G10:G11"/>
    <mergeCell ref="H14:H15"/>
    <mergeCell ref="A1:N1"/>
    <mergeCell ref="A2:N2"/>
    <mergeCell ref="A3:N3"/>
    <mergeCell ref="A5:A7"/>
    <mergeCell ref="B5:B7"/>
    <mergeCell ref="L5:N5"/>
    <mergeCell ref="I5:K5"/>
    <mergeCell ref="I6:I7"/>
    <mergeCell ref="M6:N6"/>
    <mergeCell ref="L6:L7"/>
    <mergeCell ref="F24:F25"/>
    <mergeCell ref="F26:F27"/>
    <mergeCell ref="G26:G27"/>
    <mergeCell ref="H32:H33"/>
    <mergeCell ref="H26:H27"/>
    <mergeCell ref="H24:H25"/>
    <mergeCell ref="H28:H29"/>
    <mergeCell ref="H30:H31"/>
    <mergeCell ref="G32:G33"/>
    <mergeCell ref="F30:F31"/>
    <mergeCell ref="H34:H35"/>
    <mergeCell ref="E26:E27"/>
    <mergeCell ref="G24:G25"/>
    <mergeCell ref="E20:E21"/>
    <mergeCell ref="E24:E25"/>
    <mergeCell ref="E22:E23"/>
    <mergeCell ref="G20:G21"/>
    <mergeCell ref="F20:F21"/>
    <mergeCell ref="G22:G23"/>
    <mergeCell ref="F22:F23"/>
    <mergeCell ref="D26:D27"/>
    <mergeCell ref="F36:F37"/>
    <mergeCell ref="F28:F29"/>
    <mergeCell ref="G36:G37"/>
    <mergeCell ref="D36:D37"/>
    <mergeCell ref="E36:E37"/>
    <mergeCell ref="D30:D31"/>
    <mergeCell ref="E30:E31"/>
    <mergeCell ref="D34:D35"/>
    <mergeCell ref="D32:D33"/>
    <mergeCell ref="C20:C21"/>
    <mergeCell ref="D20:D21"/>
    <mergeCell ref="D24:D25"/>
    <mergeCell ref="D22:D23"/>
    <mergeCell ref="F10:F11"/>
    <mergeCell ref="G18:G19"/>
    <mergeCell ref="D14:D15"/>
    <mergeCell ref="E14:E15"/>
    <mergeCell ref="G14:G15"/>
    <mergeCell ref="F14:F15"/>
    <mergeCell ref="A10:A13"/>
    <mergeCell ref="B10:B13"/>
    <mergeCell ref="E10:E11"/>
    <mergeCell ref="D10:D11"/>
    <mergeCell ref="C10:C11"/>
    <mergeCell ref="B14:B17"/>
    <mergeCell ref="A18:A19"/>
    <mergeCell ref="B18:B19"/>
    <mergeCell ref="A14:A17"/>
    <mergeCell ref="F18:F19"/>
    <mergeCell ref="D18:D19"/>
    <mergeCell ref="C14:C15"/>
    <mergeCell ref="C8:C9"/>
    <mergeCell ref="B8:B9"/>
    <mergeCell ref="E8:E9"/>
    <mergeCell ref="D8:D9"/>
    <mergeCell ref="C18:C19"/>
    <mergeCell ref="E18:E19"/>
    <mergeCell ref="C5:C7"/>
    <mergeCell ref="D5:D7"/>
    <mergeCell ref="G5:H5"/>
    <mergeCell ref="F5:F7"/>
    <mergeCell ref="E5:E7"/>
    <mergeCell ref="H6:H7"/>
    <mergeCell ref="A28:A29"/>
    <mergeCell ref="F8:F9"/>
    <mergeCell ref="G8:G9"/>
    <mergeCell ref="H8:H9"/>
    <mergeCell ref="A22:A23"/>
    <mergeCell ref="B22:B23"/>
    <mergeCell ref="C22:C23"/>
    <mergeCell ref="A20:A21"/>
    <mergeCell ref="B20:B21"/>
    <mergeCell ref="A8:A9"/>
    <mergeCell ref="A24:A25"/>
    <mergeCell ref="B24:B25"/>
    <mergeCell ref="C24:C25"/>
    <mergeCell ref="A26:A27"/>
    <mergeCell ref="C26:C27"/>
    <mergeCell ref="B26:B27"/>
    <mergeCell ref="A30:A31"/>
    <mergeCell ref="A34:A35"/>
    <mergeCell ref="A32:A33"/>
    <mergeCell ref="B34:B35"/>
    <mergeCell ref="C32:C33"/>
    <mergeCell ref="A42:A43"/>
    <mergeCell ref="C36:C37"/>
    <mergeCell ref="A36:A37"/>
    <mergeCell ref="B36:B37"/>
    <mergeCell ref="B56:B57"/>
    <mergeCell ref="A44:A45"/>
    <mergeCell ref="B32:B33"/>
    <mergeCell ref="C34:C35"/>
    <mergeCell ref="A50:A51"/>
    <mergeCell ref="D46:D47"/>
    <mergeCell ref="A48:A49"/>
    <mergeCell ref="D38:D39"/>
    <mergeCell ref="A46:A47"/>
    <mergeCell ref="B46:B47"/>
    <mergeCell ref="A58:A59"/>
    <mergeCell ref="C58:C59"/>
    <mergeCell ref="A62:A63"/>
    <mergeCell ref="B62:B63"/>
    <mergeCell ref="D52:D53"/>
    <mergeCell ref="C52:C53"/>
    <mergeCell ref="A52:A53"/>
    <mergeCell ref="B52:B53"/>
    <mergeCell ref="D62:D63"/>
    <mergeCell ref="A56:A57"/>
    <mergeCell ref="B28:B29"/>
    <mergeCell ref="C28:C29"/>
    <mergeCell ref="D28:D29"/>
    <mergeCell ref="C84:C88"/>
    <mergeCell ref="B58:B59"/>
    <mergeCell ref="D50:D51"/>
    <mergeCell ref="D58:D59"/>
    <mergeCell ref="C30:C31"/>
    <mergeCell ref="D64:D65"/>
    <mergeCell ref="B50:B51"/>
    <mergeCell ref="F32:F33"/>
    <mergeCell ref="E28:E29"/>
    <mergeCell ref="G30:G31"/>
    <mergeCell ref="E32:E33"/>
    <mergeCell ref="B30:B31"/>
    <mergeCell ref="D42:D43"/>
    <mergeCell ref="C46:C47"/>
    <mergeCell ref="B42:B43"/>
    <mergeCell ref="C56:C57"/>
    <mergeCell ref="A66:A67"/>
    <mergeCell ref="B66:B67"/>
    <mergeCell ref="C66:C67"/>
    <mergeCell ref="D66:D67"/>
    <mergeCell ref="E66:E67"/>
    <mergeCell ref="F66:F67"/>
  </mergeCells>
  <printOptions/>
  <pageMargins left="0.7086614173228347" right="0.5511811023622047" top="0.9448818897637796" bottom="0.5511811023622047" header="0.5511811023622047" footer="0.3937007874015748"/>
  <pageSetup firstPageNumber="7" useFirstPageNumber="1" fitToHeight="0" fitToWidth="1" horizontalDpi="300" verticalDpi="300" orientation="landscape" paperSize="9" scale="97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108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96" sqref="L96"/>
    </sheetView>
  </sheetViews>
  <sheetFormatPr defaultColWidth="9.00390625" defaultRowHeight="12.75"/>
  <cols>
    <col min="1" max="1" width="4.25390625" style="0" customWidth="1"/>
    <col min="2" max="2" width="12.625" style="53" customWidth="1"/>
    <col min="3" max="3" width="35.125" style="0" customWidth="1"/>
    <col min="4" max="4" width="7.625" style="53" customWidth="1"/>
    <col min="5" max="5" width="10.125" style="0" customWidth="1"/>
    <col min="7" max="7" width="7.875" style="0" customWidth="1"/>
    <col min="8" max="8" width="9.375" style="0" customWidth="1"/>
    <col min="9" max="9" width="8.00390625" style="0" bestFit="1" customWidth="1"/>
    <col min="10" max="12" width="7.375" style="0" bestFit="1" customWidth="1"/>
    <col min="13" max="14" width="5.625" style="0" customWidth="1"/>
  </cols>
  <sheetData>
    <row r="1" spans="1:14" s="19" customFormat="1" ht="12.75">
      <c r="A1" s="1364" t="s">
        <v>3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</row>
    <row r="2" spans="1:14" s="19" customFormat="1" ht="12.75">
      <c r="A2" s="1365" t="s">
        <v>1269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</row>
    <row r="3" spans="1:14" s="19" customFormat="1" ht="12.75">
      <c r="A3" s="1364" t="s">
        <v>1411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</row>
    <row r="4" spans="1:14" ht="15" customHeight="1" thickBot="1">
      <c r="A4" s="7"/>
      <c r="B4" s="54"/>
      <c r="C4" s="7"/>
      <c r="D4" s="54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12.75" customHeight="1" thickBot="1">
      <c r="A5" s="1222" t="s">
        <v>9</v>
      </c>
      <c r="B5" s="1203" t="s">
        <v>735</v>
      </c>
      <c r="C5" s="1222" t="s">
        <v>455</v>
      </c>
      <c r="D5" s="1203" t="s">
        <v>231</v>
      </c>
      <c r="E5" s="1203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355"/>
      <c r="B6" s="1204"/>
      <c r="C6" s="1355"/>
      <c r="D6" s="1207"/>
      <c r="E6" s="1204"/>
      <c r="F6" s="1204"/>
      <c r="G6" s="1203" t="s">
        <v>456</v>
      </c>
      <c r="H6" s="1203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0"/>
    </row>
    <row r="7" spans="1:14" s="1" customFormat="1" ht="13.5" customHeight="1" thickBot="1">
      <c r="A7" s="1355"/>
      <c r="B7" s="1204"/>
      <c r="C7" s="1355"/>
      <c r="D7" s="1207"/>
      <c r="E7" s="1204"/>
      <c r="F7" s="1204"/>
      <c r="G7" s="1207"/>
      <c r="H7" s="1204"/>
      <c r="I7" s="1355"/>
      <c r="J7" s="9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2.75" hidden="1" thickBot="1">
      <c r="A8" s="1239"/>
      <c r="B8" s="1241"/>
      <c r="C8" s="1243"/>
      <c r="D8" s="1257"/>
      <c r="E8" s="1257"/>
      <c r="F8" s="1241"/>
      <c r="G8" s="1247"/>
      <c r="H8" s="1249"/>
      <c r="I8" s="263"/>
      <c r="J8" s="265"/>
      <c r="K8" s="325"/>
      <c r="L8" s="385"/>
      <c r="M8" s="386"/>
      <c r="N8" s="385"/>
    </row>
    <row r="9" spans="1:14" s="266" customFormat="1" ht="12.75" hidden="1" thickBot="1">
      <c r="A9" s="1240"/>
      <c r="B9" s="1242"/>
      <c r="C9" s="1244"/>
      <c r="D9" s="1261"/>
      <c r="E9" s="1261"/>
      <c r="F9" s="1242"/>
      <c r="G9" s="1248"/>
      <c r="H9" s="1250"/>
      <c r="I9" s="388"/>
      <c r="J9" s="391"/>
      <c r="K9" s="389"/>
      <c r="L9" s="390"/>
      <c r="M9" s="387"/>
      <c r="N9" s="390"/>
    </row>
    <row r="10" spans="1:14" s="266" customFormat="1" ht="12">
      <c r="A10" s="1228">
        <v>1</v>
      </c>
      <c r="B10" s="1436" t="s">
        <v>826</v>
      </c>
      <c r="C10" s="1191" t="s">
        <v>103</v>
      </c>
      <c r="D10" s="1348" t="s">
        <v>619</v>
      </c>
      <c r="E10" s="1189" t="s">
        <v>104</v>
      </c>
      <c r="F10" s="1186">
        <f>G10+H10</f>
        <v>62.077</v>
      </c>
      <c r="G10" s="1186">
        <v>62.077</v>
      </c>
      <c r="H10" s="1197">
        <v>0</v>
      </c>
      <c r="I10" s="502">
        <f>J10+K10</f>
        <v>5</v>
      </c>
      <c r="J10" s="503">
        <v>5</v>
      </c>
      <c r="K10" s="504">
        <v>0</v>
      </c>
      <c r="L10" s="502">
        <f>M10+N10</f>
        <v>51</v>
      </c>
      <c r="M10" s="506">
        <v>40</v>
      </c>
      <c r="N10" s="502">
        <v>11</v>
      </c>
    </row>
    <row r="11" spans="1:14" s="266" customFormat="1" ht="12">
      <c r="A11" s="1339"/>
      <c r="B11" s="1437"/>
      <c r="C11" s="1340"/>
      <c r="D11" s="1349"/>
      <c r="E11" s="1341"/>
      <c r="F11" s="1350"/>
      <c r="G11" s="1350"/>
      <c r="H11" s="1345"/>
      <c r="I11" s="581">
        <f>J11+K11</f>
        <v>290.62</v>
      </c>
      <c r="J11" s="507">
        <v>290.62</v>
      </c>
      <c r="K11" s="587">
        <v>0</v>
      </c>
      <c r="L11" s="582">
        <f>M11+N11</f>
        <v>1592</v>
      </c>
      <c r="M11" s="554">
        <v>1251</v>
      </c>
      <c r="N11" s="581">
        <v>341</v>
      </c>
    </row>
    <row r="12" spans="1:14" s="266" customFormat="1" ht="12">
      <c r="A12" s="1339"/>
      <c r="B12" s="1437"/>
      <c r="C12" s="521" t="s">
        <v>449</v>
      </c>
      <c r="D12" s="590" t="s">
        <v>100</v>
      </c>
      <c r="E12" s="531" t="s">
        <v>451</v>
      </c>
      <c r="F12" s="532">
        <f>G12+H12</f>
        <v>13.197</v>
      </c>
      <c r="G12" s="532">
        <v>13.197</v>
      </c>
      <c r="H12" s="583"/>
      <c r="I12" s="580"/>
      <c r="J12" s="579"/>
      <c r="K12" s="512"/>
      <c r="L12" s="579"/>
      <c r="M12" s="585"/>
      <c r="N12" s="579"/>
    </row>
    <row r="13" spans="1:14" s="266" customFormat="1" ht="12.75" thickBot="1">
      <c r="A13" s="1229"/>
      <c r="B13" s="1438"/>
      <c r="C13" s="526"/>
      <c r="D13" s="527" t="s">
        <v>102</v>
      </c>
      <c r="E13" s="528" t="s">
        <v>452</v>
      </c>
      <c r="F13" s="533">
        <f>G13+H13</f>
        <v>48.88</v>
      </c>
      <c r="G13" s="533">
        <v>48.88</v>
      </c>
      <c r="H13" s="577"/>
      <c r="I13" s="576"/>
      <c r="J13" s="576"/>
      <c r="K13" s="576"/>
      <c r="L13" s="576"/>
      <c r="M13" s="588"/>
      <c r="N13" s="576"/>
    </row>
    <row r="14" spans="1:14" s="266" customFormat="1" ht="12" customHeight="1" hidden="1" thickBot="1">
      <c r="A14" s="1239"/>
      <c r="B14" s="1432"/>
      <c r="C14" s="1243"/>
      <c r="D14" s="1434"/>
      <c r="E14" s="1257"/>
      <c r="F14" s="1247"/>
      <c r="G14" s="1247"/>
      <c r="H14" s="1249"/>
      <c r="I14" s="263"/>
      <c r="J14" s="265"/>
      <c r="K14" s="325"/>
      <c r="L14" s="263"/>
      <c r="M14" s="265"/>
      <c r="N14" s="263"/>
    </row>
    <row r="15" spans="1:14" s="266" customFormat="1" ht="12.75" hidden="1" thickBot="1">
      <c r="A15" s="1307"/>
      <c r="B15" s="1407"/>
      <c r="C15" s="1315"/>
      <c r="D15" s="1435"/>
      <c r="E15" s="1258"/>
      <c r="F15" s="1256"/>
      <c r="G15" s="1256"/>
      <c r="H15" s="1414"/>
      <c r="I15" s="412"/>
      <c r="J15" s="412"/>
      <c r="K15" s="431"/>
      <c r="L15" s="413"/>
      <c r="M15" s="431"/>
      <c r="N15" s="415"/>
    </row>
    <row r="16" spans="1:14" s="266" customFormat="1" ht="12.75" hidden="1" thickBot="1">
      <c r="A16" s="1307"/>
      <c r="B16" s="1407"/>
      <c r="C16" s="279"/>
      <c r="D16" s="283"/>
      <c r="E16" s="280"/>
      <c r="F16" s="281"/>
      <c r="G16" s="281"/>
      <c r="H16" s="426"/>
      <c r="I16" s="413"/>
      <c r="J16" s="307"/>
      <c r="K16" s="439"/>
      <c r="L16" s="414"/>
      <c r="M16" s="439"/>
      <c r="N16" s="413"/>
    </row>
    <row r="17" spans="1:14" s="266" customFormat="1" ht="12.75" hidden="1" thickBot="1">
      <c r="A17" s="1240"/>
      <c r="B17" s="1433"/>
      <c r="C17" s="329"/>
      <c r="D17" s="330"/>
      <c r="E17" s="331"/>
      <c r="F17" s="328"/>
      <c r="G17" s="328"/>
      <c r="H17" s="409"/>
      <c r="I17" s="411"/>
      <c r="J17" s="424"/>
      <c r="K17" s="411"/>
      <c r="L17" s="411"/>
      <c r="M17" s="440"/>
      <c r="N17" s="411"/>
    </row>
    <row r="18" spans="1:14" s="266" customFormat="1" ht="12.75" hidden="1" thickBot="1">
      <c r="A18" s="1239"/>
      <c r="B18" s="1241"/>
      <c r="C18" s="1243"/>
      <c r="D18" s="1257"/>
      <c r="E18" s="1241"/>
      <c r="F18" s="1241"/>
      <c r="G18" s="1247"/>
      <c r="H18" s="1249"/>
      <c r="I18" s="263"/>
      <c r="J18" s="264"/>
      <c r="K18" s="325"/>
      <c r="L18" s="263"/>
      <c r="M18" s="265"/>
      <c r="N18" s="263"/>
    </row>
    <row r="19" spans="1:15" s="266" customFormat="1" ht="12.75" hidden="1" thickBot="1">
      <c r="A19" s="1240"/>
      <c r="B19" s="1242"/>
      <c r="C19" s="1244"/>
      <c r="D19" s="1261"/>
      <c r="E19" s="1242"/>
      <c r="F19" s="1242"/>
      <c r="G19" s="1248"/>
      <c r="H19" s="1250"/>
      <c r="I19" s="411"/>
      <c r="J19" s="424"/>
      <c r="K19" s="435"/>
      <c r="L19" s="411"/>
      <c r="M19" s="440"/>
      <c r="N19" s="411"/>
      <c r="O19" s="284"/>
    </row>
    <row r="20" spans="1:14" s="266" customFormat="1" ht="12.75" hidden="1" thickBot="1">
      <c r="A20" s="1239"/>
      <c r="B20" s="1241"/>
      <c r="C20" s="1243"/>
      <c r="D20" s="1257"/>
      <c r="E20" s="1241"/>
      <c r="F20" s="1247"/>
      <c r="G20" s="1247"/>
      <c r="H20" s="1241"/>
      <c r="I20" s="263"/>
      <c r="J20" s="265"/>
      <c r="K20" s="325"/>
      <c r="L20" s="263"/>
      <c r="M20" s="265"/>
      <c r="N20" s="263"/>
    </row>
    <row r="21" spans="1:14" s="266" customFormat="1" ht="12.75" hidden="1" thickBot="1">
      <c r="A21" s="1240"/>
      <c r="B21" s="1242"/>
      <c r="C21" s="1244"/>
      <c r="D21" s="1261"/>
      <c r="E21" s="1242"/>
      <c r="F21" s="1248"/>
      <c r="G21" s="1248"/>
      <c r="H21" s="1242"/>
      <c r="I21" s="411"/>
      <c r="J21" s="440"/>
      <c r="K21" s="435"/>
      <c r="L21" s="411"/>
      <c r="M21" s="440"/>
      <c r="N21" s="411"/>
    </row>
    <row r="22" spans="1:14" s="266" customFormat="1" ht="12.75" hidden="1" thickBot="1">
      <c r="A22" s="1239"/>
      <c r="B22" s="1241"/>
      <c r="C22" s="1243"/>
      <c r="D22" s="1257"/>
      <c r="E22" s="1241"/>
      <c r="F22" s="1249"/>
      <c r="G22" s="1249"/>
      <c r="H22" s="1249"/>
      <c r="I22" s="263"/>
      <c r="J22" s="264"/>
      <c r="K22" s="325"/>
      <c r="L22" s="263"/>
      <c r="M22" s="264"/>
      <c r="N22" s="264"/>
    </row>
    <row r="23" spans="1:14" s="266" customFormat="1" ht="12.75" customHeight="1" hidden="1">
      <c r="A23" s="1240"/>
      <c r="B23" s="1242"/>
      <c r="C23" s="1244"/>
      <c r="D23" s="1261"/>
      <c r="E23" s="1242"/>
      <c r="F23" s="1250"/>
      <c r="G23" s="1250"/>
      <c r="H23" s="1250"/>
      <c r="I23" s="411"/>
      <c r="J23" s="424"/>
      <c r="K23" s="435"/>
      <c r="L23" s="411"/>
      <c r="M23" s="424"/>
      <c r="N23" s="424"/>
    </row>
    <row r="24" spans="1:14" s="266" customFormat="1" ht="12.75" hidden="1" thickBot="1">
      <c r="A24" s="1239"/>
      <c r="B24" s="1241"/>
      <c r="C24" s="1243"/>
      <c r="D24" s="1257"/>
      <c r="E24" s="1257"/>
      <c r="F24" s="1249"/>
      <c r="G24" s="1249"/>
      <c r="H24" s="1249"/>
      <c r="I24" s="263"/>
      <c r="J24" s="264"/>
      <c r="K24" s="325"/>
      <c r="L24" s="263"/>
      <c r="M24" s="264"/>
      <c r="N24" s="264"/>
    </row>
    <row r="25" spans="1:14" s="266" customFormat="1" ht="12.75" hidden="1" thickBot="1">
      <c r="A25" s="1240"/>
      <c r="B25" s="1242"/>
      <c r="C25" s="1244"/>
      <c r="D25" s="1261"/>
      <c r="E25" s="1261"/>
      <c r="F25" s="1250"/>
      <c r="G25" s="1250"/>
      <c r="H25" s="1250"/>
      <c r="I25" s="411"/>
      <c r="J25" s="424"/>
      <c r="K25" s="435"/>
      <c r="L25" s="411"/>
      <c r="M25" s="424"/>
      <c r="N25" s="424"/>
    </row>
    <row r="26" spans="1:14" s="266" customFormat="1" ht="12.75" hidden="1" thickBot="1">
      <c r="A26" s="1239"/>
      <c r="B26" s="1241"/>
      <c r="C26" s="1243"/>
      <c r="D26" s="1257"/>
      <c r="E26" s="1257"/>
      <c r="F26" s="1247"/>
      <c r="G26" s="1247"/>
      <c r="H26" s="1249"/>
      <c r="I26" s="263"/>
      <c r="J26" s="264"/>
      <c r="K26" s="325"/>
      <c r="L26" s="263"/>
      <c r="M26" s="264"/>
      <c r="N26" s="264"/>
    </row>
    <row r="27" spans="1:14" s="266" customFormat="1" ht="12.75" hidden="1" thickBot="1">
      <c r="A27" s="1240"/>
      <c r="B27" s="1242"/>
      <c r="C27" s="1244"/>
      <c r="D27" s="1261"/>
      <c r="E27" s="1261"/>
      <c r="F27" s="1248"/>
      <c r="G27" s="1248"/>
      <c r="H27" s="1250"/>
      <c r="I27" s="411"/>
      <c r="J27" s="424"/>
      <c r="K27" s="435"/>
      <c r="L27" s="411"/>
      <c r="M27" s="424"/>
      <c r="N27" s="424"/>
    </row>
    <row r="28" spans="1:14" s="266" customFormat="1" ht="12.75" hidden="1" thickBot="1">
      <c r="A28" s="1239"/>
      <c r="B28" s="1241"/>
      <c r="C28" s="1243"/>
      <c r="D28" s="1257"/>
      <c r="E28" s="1257"/>
      <c r="F28" s="1430"/>
      <c r="G28" s="1247"/>
      <c r="H28" s="1247"/>
      <c r="I28" s="263"/>
      <c r="J28" s="264"/>
      <c r="K28" s="325"/>
      <c r="L28" s="263"/>
      <c r="M28" s="264"/>
      <c r="N28" s="264"/>
    </row>
    <row r="29" spans="1:14" s="266" customFormat="1" ht="12.75" hidden="1" thickBot="1">
      <c r="A29" s="1240"/>
      <c r="B29" s="1242"/>
      <c r="C29" s="1244"/>
      <c r="D29" s="1261"/>
      <c r="E29" s="1261"/>
      <c r="F29" s="1431"/>
      <c r="G29" s="1248"/>
      <c r="H29" s="1248"/>
      <c r="I29" s="411"/>
      <c r="J29" s="424"/>
      <c r="K29" s="435"/>
      <c r="L29" s="411"/>
      <c r="M29" s="424"/>
      <c r="N29" s="424"/>
    </row>
    <row r="30" spans="1:14" s="266" customFormat="1" ht="12.75" hidden="1" thickBot="1">
      <c r="A30" s="1239"/>
      <c r="B30" s="1241"/>
      <c r="C30" s="1243"/>
      <c r="D30" s="1257"/>
      <c r="E30" s="1257"/>
      <c r="F30" s="1247"/>
      <c r="G30" s="1247"/>
      <c r="H30" s="1247"/>
      <c r="I30" s="263"/>
      <c r="J30" s="264"/>
      <c r="K30" s="325"/>
      <c r="L30" s="263"/>
      <c r="M30" s="264"/>
      <c r="N30" s="263"/>
    </row>
    <row r="31" spans="1:14" s="266" customFormat="1" ht="12.75" hidden="1" thickBot="1">
      <c r="A31" s="1240"/>
      <c r="B31" s="1242"/>
      <c r="C31" s="1244"/>
      <c r="D31" s="1261"/>
      <c r="E31" s="1261"/>
      <c r="F31" s="1248"/>
      <c r="G31" s="1248"/>
      <c r="H31" s="1248"/>
      <c r="I31" s="411"/>
      <c r="J31" s="424"/>
      <c r="K31" s="435"/>
      <c r="L31" s="411"/>
      <c r="M31" s="424"/>
      <c r="N31" s="411"/>
    </row>
    <row r="32" spans="1:14" s="266" customFormat="1" ht="12.75" hidden="1" thickBot="1">
      <c r="A32" s="1239"/>
      <c r="B32" s="1241"/>
      <c r="C32" s="1243"/>
      <c r="D32" s="1257"/>
      <c r="E32" s="1257"/>
      <c r="F32" s="1247"/>
      <c r="G32" s="1247"/>
      <c r="H32" s="1247"/>
      <c r="I32" s="263"/>
      <c r="J32" s="264"/>
      <c r="K32" s="325"/>
      <c r="L32" s="263"/>
      <c r="M32" s="264"/>
      <c r="N32" s="264"/>
    </row>
    <row r="33" spans="1:14" s="266" customFormat="1" ht="12.75" hidden="1" thickBot="1">
      <c r="A33" s="1240"/>
      <c r="B33" s="1242"/>
      <c r="C33" s="1244"/>
      <c r="D33" s="1261"/>
      <c r="E33" s="1261"/>
      <c r="F33" s="1248"/>
      <c r="G33" s="1248"/>
      <c r="H33" s="1248"/>
      <c r="I33" s="411"/>
      <c r="J33" s="424"/>
      <c r="K33" s="435"/>
      <c r="L33" s="411"/>
      <c r="M33" s="424"/>
      <c r="N33" s="424"/>
    </row>
    <row r="34" spans="1:14" s="266" customFormat="1" ht="12.75" hidden="1" thickBot="1">
      <c r="A34" s="1239"/>
      <c r="B34" s="1241"/>
      <c r="C34" s="1243"/>
      <c r="D34" s="1257"/>
      <c r="E34" s="1257"/>
      <c r="F34" s="1247"/>
      <c r="G34" s="1247"/>
      <c r="H34" s="1247"/>
      <c r="I34" s="263"/>
      <c r="J34" s="265"/>
      <c r="K34" s="263"/>
      <c r="L34" s="263"/>
      <c r="M34" s="264"/>
      <c r="N34" s="264"/>
    </row>
    <row r="35" spans="1:14" s="266" customFormat="1" ht="12.75" hidden="1" thickBot="1">
      <c r="A35" s="1240"/>
      <c r="B35" s="1242"/>
      <c r="C35" s="1244"/>
      <c r="D35" s="1261"/>
      <c r="E35" s="1261"/>
      <c r="F35" s="1248"/>
      <c r="G35" s="1248"/>
      <c r="H35" s="1248"/>
      <c r="I35" s="409"/>
      <c r="J35" s="327"/>
      <c r="K35" s="411"/>
      <c r="L35" s="411"/>
      <c r="M35" s="424"/>
      <c r="N35" s="424"/>
    </row>
    <row r="36" spans="1:14" s="266" customFormat="1" ht="12.75" hidden="1" thickBot="1">
      <c r="A36" s="1239"/>
      <c r="B36" s="1241"/>
      <c r="C36" s="1243"/>
      <c r="D36" s="1257"/>
      <c r="E36" s="1257"/>
      <c r="F36" s="1241"/>
      <c r="G36" s="1247"/>
      <c r="H36" s="1249"/>
      <c r="I36" s="263"/>
      <c r="J36" s="263"/>
      <c r="K36" s="325"/>
      <c r="L36" s="263"/>
      <c r="M36" s="264"/>
      <c r="N36" s="264"/>
    </row>
    <row r="37" spans="1:14" s="266" customFormat="1" ht="21.75" customHeight="1" hidden="1">
      <c r="A37" s="1240"/>
      <c r="B37" s="1242"/>
      <c r="C37" s="1244"/>
      <c r="D37" s="1261"/>
      <c r="E37" s="1261"/>
      <c r="F37" s="1242"/>
      <c r="G37" s="1248"/>
      <c r="H37" s="1250"/>
      <c r="I37" s="411"/>
      <c r="J37" s="411"/>
      <c r="K37" s="435"/>
      <c r="L37" s="411"/>
      <c r="M37" s="424"/>
      <c r="N37" s="424"/>
    </row>
    <row r="38" spans="1:14" s="266" customFormat="1" ht="12.75" hidden="1" thickBot="1">
      <c r="A38" s="1424"/>
      <c r="B38" s="1241"/>
      <c r="C38" s="1425"/>
      <c r="D38" s="1427"/>
      <c r="E38" s="1427"/>
      <c r="F38" s="1399"/>
      <c r="G38" s="1420"/>
      <c r="H38" s="1422"/>
      <c r="I38" s="263"/>
      <c r="J38" s="265"/>
      <c r="K38" s="263"/>
      <c r="L38" s="265"/>
      <c r="M38" s="263"/>
      <c r="N38" s="263"/>
    </row>
    <row r="39" spans="1:14" s="266" customFormat="1" ht="12.75" hidden="1" thickBot="1">
      <c r="A39" s="1396"/>
      <c r="B39" s="1242"/>
      <c r="C39" s="1426"/>
      <c r="D39" s="1428"/>
      <c r="E39" s="1428"/>
      <c r="F39" s="1400"/>
      <c r="G39" s="1421"/>
      <c r="H39" s="1423"/>
      <c r="I39" s="409"/>
      <c r="J39" s="327"/>
      <c r="K39" s="411"/>
      <c r="L39" s="440"/>
      <c r="M39" s="411"/>
      <c r="N39" s="411"/>
    </row>
    <row r="40" spans="1:14" s="266" customFormat="1" ht="12.75" hidden="1" thickBot="1">
      <c r="A40" s="1239"/>
      <c r="B40" s="1241"/>
      <c r="C40" s="1243"/>
      <c r="D40" s="1257"/>
      <c r="E40" s="1257"/>
      <c r="F40" s="1247"/>
      <c r="G40" s="1247"/>
      <c r="H40" s="1247"/>
      <c r="I40" s="263"/>
      <c r="J40" s="264"/>
      <c r="K40" s="325"/>
      <c r="L40" s="263"/>
      <c r="M40" s="264"/>
      <c r="N40" s="264"/>
    </row>
    <row r="41" spans="1:14" s="266" customFormat="1" ht="12.75" hidden="1" thickBot="1">
      <c r="A41" s="1240"/>
      <c r="B41" s="1242"/>
      <c r="C41" s="1244"/>
      <c r="D41" s="1261"/>
      <c r="E41" s="1261"/>
      <c r="F41" s="1248"/>
      <c r="G41" s="1248"/>
      <c r="H41" s="1248"/>
      <c r="I41" s="411"/>
      <c r="J41" s="424"/>
      <c r="K41" s="435"/>
      <c r="L41" s="411"/>
      <c r="M41" s="424"/>
      <c r="N41" s="424"/>
    </row>
    <row r="42" spans="1:14" s="266" customFormat="1" ht="12.75" hidden="1" thickBot="1">
      <c r="A42" s="1239"/>
      <c r="B42" s="1241"/>
      <c r="C42" s="1243"/>
      <c r="D42" s="1257"/>
      <c r="E42" s="1257"/>
      <c r="F42" s="1247"/>
      <c r="G42" s="1247"/>
      <c r="H42" s="1247"/>
      <c r="I42" s="263"/>
      <c r="J42" s="264"/>
      <c r="K42" s="325"/>
      <c r="L42" s="263"/>
      <c r="M42" s="264"/>
      <c r="N42" s="264"/>
    </row>
    <row r="43" spans="1:14" s="266" customFormat="1" ht="12.75" hidden="1" thickBot="1">
      <c r="A43" s="1240"/>
      <c r="B43" s="1242"/>
      <c r="C43" s="1244"/>
      <c r="D43" s="1261"/>
      <c r="E43" s="1261"/>
      <c r="F43" s="1248"/>
      <c r="G43" s="1248"/>
      <c r="H43" s="1248"/>
      <c r="I43" s="411"/>
      <c r="J43" s="424"/>
      <c r="K43" s="435"/>
      <c r="L43" s="411"/>
      <c r="M43" s="424"/>
      <c r="N43" s="424"/>
    </row>
    <row r="44" spans="1:14" s="266" customFormat="1" ht="12.75" hidden="1" thickBot="1">
      <c r="A44" s="1239"/>
      <c r="B44" s="1241"/>
      <c r="C44" s="1243"/>
      <c r="D44" s="1257"/>
      <c r="E44" s="1257"/>
      <c r="F44" s="1241"/>
      <c r="G44" s="1249"/>
      <c r="H44" s="1249"/>
      <c r="I44" s="263"/>
      <c r="J44" s="264"/>
      <c r="K44" s="325"/>
      <c r="L44" s="263"/>
      <c r="M44" s="264"/>
      <c r="N44" s="264"/>
    </row>
    <row r="45" spans="1:14" s="266" customFormat="1" ht="12.75" hidden="1" thickBot="1">
      <c r="A45" s="1240"/>
      <c r="B45" s="1242"/>
      <c r="C45" s="1244"/>
      <c r="D45" s="1261"/>
      <c r="E45" s="1261"/>
      <c r="F45" s="1242"/>
      <c r="G45" s="1250"/>
      <c r="H45" s="1250"/>
      <c r="I45" s="411"/>
      <c r="J45" s="424"/>
      <c r="K45" s="435"/>
      <c r="L45" s="411"/>
      <c r="M45" s="424"/>
      <c r="N45" s="424"/>
    </row>
    <row r="46" spans="1:14" s="266" customFormat="1" ht="12.75" hidden="1" thickBot="1">
      <c r="A46" s="1239"/>
      <c r="B46" s="1241"/>
      <c r="C46" s="1243"/>
      <c r="D46" s="1257"/>
      <c r="E46" s="1257"/>
      <c r="F46" s="1247"/>
      <c r="G46" s="1247"/>
      <c r="H46" s="1249"/>
      <c r="I46" s="263"/>
      <c r="J46" s="264"/>
      <c r="K46" s="325"/>
      <c r="L46" s="263"/>
      <c r="M46" s="264"/>
      <c r="N46" s="264"/>
    </row>
    <row r="47" spans="1:14" s="266" customFormat="1" ht="12.75" hidden="1" thickBot="1">
      <c r="A47" s="1240"/>
      <c r="B47" s="1242"/>
      <c r="C47" s="1244"/>
      <c r="D47" s="1261"/>
      <c r="E47" s="1261"/>
      <c r="F47" s="1248"/>
      <c r="G47" s="1248"/>
      <c r="H47" s="1250"/>
      <c r="I47" s="411"/>
      <c r="J47" s="424"/>
      <c r="K47" s="435"/>
      <c r="L47" s="411"/>
      <c r="M47" s="424"/>
      <c r="N47" s="424"/>
    </row>
    <row r="48" spans="1:14" s="266" customFormat="1" ht="12.75" hidden="1" thickBot="1">
      <c r="A48" s="1239"/>
      <c r="B48" s="1241"/>
      <c r="C48" s="1243"/>
      <c r="D48" s="1257"/>
      <c r="E48" s="1257"/>
      <c r="F48" s="1241"/>
      <c r="G48" s="1249"/>
      <c r="H48" s="1247"/>
      <c r="I48" s="263"/>
      <c r="J48" s="264"/>
      <c r="K48" s="325"/>
      <c r="L48" s="263"/>
      <c r="M48" s="264"/>
      <c r="N48" s="264"/>
    </row>
    <row r="49" spans="1:14" s="266" customFormat="1" ht="12.75" hidden="1" thickBot="1">
      <c r="A49" s="1240"/>
      <c r="B49" s="1242"/>
      <c r="C49" s="1244"/>
      <c r="D49" s="1261"/>
      <c r="E49" s="1261"/>
      <c r="F49" s="1242"/>
      <c r="G49" s="1250"/>
      <c r="H49" s="1248"/>
      <c r="I49" s="411"/>
      <c r="J49" s="424"/>
      <c r="K49" s="435"/>
      <c r="L49" s="411"/>
      <c r="M49" s="424"/>
      <c r="N49" s="424"/>
    </row>
    <row r="50" spans="1:14" s="266" customFormat="1" ht="12.75" hidden="1" thickBot="1">
      <c r="A50" s="1239"/>
      <c r="B50" s="1241"/>
      <c r="C50" s="1243"/>
      <c r="D50" s="1257"/>
      <c r="E50" s="1257"/>
      <c r="F50" s="1418"/>
      <c r="G50" s="1249"/>
      <c r="H50" s="1249"/>
      <c r="I50" s="263"/>
      <c r="J50" s="264"/>
      <c r="K50" s="325"/>
      <c r="L50" s="263"/>
      <c r="M50" s="264"/>
      <c r="N50" s="264"/>
    </row>
    <row r="51" spans="1:14" s="266" customFormat="1" ht="12.75" hidden="1" thickBot="1">
      <c r="A51" s="1240"/>
      <c r="B51" s="1242"/>
      <c r="C51" s="1244"/>
      <c r="D51" s="1261"/>
      <c r="E51" s="1261"/>
      <c r="F51" s="1419"/>
      <c r="G51" s="1250"/>
      <c r="H51" s="1250"/>
      <c r="I51" s="411"/>
      <c r="J51" s="424"/>
      <c r="K51" s="435"/>
      <c r="L51" s="411"/>
      <c r="M51" s="424"/>
      <c r="N51" s="424"/>
    </row>
    <row r="52" spans="1:14" s="266" customFormat="1" ht="12" customHeight="1" hidden="1">
      <c r="A52" s="1308"/>
      <c r="B52" s="1308"/>
      <c r="C52" s="1315"/>
      <c r="D52" s="1412"/>
      <c r="E52" s="1412"/>
      <c r="F52" s="1308"/>
      <c r="G52" s="1413"/>
      <c r="H52" s="1413"/>
      <c r="I52" s="269"/>
      <c r="J52" s="267"/>
      <c r="K52" s="268"/>
      <c r="L52" s="269"/>
      <c r="M52" s="267"/>
      <c r="N52" s="267"/>
    </row>
    <row r="53" spans="1:14" s="266" customFormat="1" ht="12" customHeight="1" hidden="1">
      <c r="A53" s="1308"/>
      <c r="B53" s="1308"/>
      <c r="C53" s="1315"/>
      <c r="D53" s="1412"/>
      <c r="E53" s="1412"/>
      <c r="F53" s="1308"/>
      <c r="G53" s="1413"/>
      <c r="H53" s="1413"/>
      <c r="I53" s="413"/>
      <c r="J53" s="307"/>
      <c r="K53" s="430"/>
      <c r="L53" s="269"/>
      <c r="M53" s="307"/>
      <c r="N53" s="307"/>
    </row>
    <row r="54" spans="1:14" s="266" customFormat="1" ht="12.75" hidden="1" thickBot="1">
      <c r="A54" s="1239"/>
      <c r="B54" s="1241"/>
      <c r="C54" s="1243"/>
      <c r="D54" s="1257"/>
      <c r="E54" s="1257"/>
      <c r="F54" s="1418"/>
      <c r="G54" s="1249"/>
      <c r="H54" s="1249"/>
      <c r="I54" s="263"/>
      <c r="J54" s="264"/>
      <c r="K54" s="325"/>
      <c r="L54" s="263"/>
      <c r="M54" s="264"/>
      <c r="N54" s="264"/>
    </row>
    <row r="55" spans="1:14" s="266" customFormat="1" ht="12.75" hidden="1" thickBot="1">
      <c r="A55" s="1240"/>
      <c r="B55" s="1242"/>
      <c r="C55" s="1244"/>
      <c r="D55" s="1261"/>
      <c r="E55" s="1261"/>
      <c r="F55" s="1419"/>
      <c r="G55" s="1250"/>
      <c r="H55" s="1250"/>
      <c r="I55" s="411"/>
      <c r="J55" s="424"/>
      <c r="K55" s="435"/>
      <c r="L55" s="411"/>
      <c r="M55" s="424"/>
      <c r="N55" s="424"/>
    </row>
    <row r="56" spans="1:14" s="266" customFormat="1" ht="12.75" hidden="1" thickBot="1">
      <c r="A56" s="1239"/>
      <c r="B56" s="1241"/>
      <c r="C56" s="1243"/>
      <c r="D56" s="1257"/>
      <c r="E56" s="1257"/>
      <c r="F56" s="1247"/>
      <c r="G56" s="1247"/>
      <c r="H56" s="1247"/>
      <c r="I56" s="263"/>
      <c r="J56" s="264"/>
      <c r="K56" s="325"/>
      <c r="L56" s="263"/>
      <c r="M56" s="264"/>
      <c r="N56" s="264"/>
    </row>
    <row r="57" spans="1:14" s="266" customFormat="1" ht="12.75" hidden="1" thickBot="1">
      <c r="A57" s="1240"/>
      <c r="B57" s="1242"/>
      <c r="C57" s="1244"/>
      <c r="D57" s="1261"/>
      <c r="E57" s="1261"/>
      <c r="F57" s="1248"/>
      <c r="G57" s="1248"/>
      <c r="H57" s="1248"/>
      <c r="I57" s="411"/>
      <c r="J57" s="424"/>
      <c r="K57" s="435"/>
      <c r="L57" s="411"/>
      <c r="M57" s="424"/>
      <c r="N57" s="424"/>
    </row>
    <row r="58" spans="1:14" s="266" customFormat="1" ht="12" customHeight="1" hidden="1">
      <c r="A58" s="1239"/>
      <c r="B58" s="1241"/>
      <c r="C58" s="1243"/>
      <c r="D58" s="1257"/>
      <c r="E58" s="1257"/>
      <c r="F58" s="1241"/>
      <c r="G58" s="1247"/>
      <c r="H58" s="1249"/>
      <c r="I58" s="263"/>
      <c r="J58" s="264"/>
      <c r="K58" s="325"/>
      <c r="L58" s="263"/>
      <c r="M58" s="264"/>
      <c r="N58" s="264"/>
    </row>
    <row r="59" spans="1:14" s="266" customFormat="1" ht="12" customHeight="1" hidden="1">
      <c r="A59" s="1240"/>
      <c r="B59" s="1242"/>
      <c r="C59" s="1244"/>
      <c r="D59" s="1261"/>
      <c r="E59" s="1261"/>
      <c r="F59" s="1242"/>
      <c r="G59" s="1248"/>
      <c r="H59" s="1250"/>
      <c r="I59" s="411"/>
      <c r="J59" s="424"/>
      <c r="K59" s="435"/>
      <c r="L59" s="332"/>
      <c r="M59" s="424"/>
      <c r="N59" s="424"/>
    </row>
    <row r="60" spans="1:14" s="266" customFormat="1" ht="12.75" hidden="1" thickBot="1">
      <c r="A60" s="1239"/>
      <c r="B60" s="1241"/>
      <c r="C60" s="1243"/>
      <c r="D60" s="1257"/>
      <c r="E60" s="1257"/>
      <c r="F60" s="1241"/>
      <c r="G60" s="1247"/>
      <c r="H60" s="1247"/>
      <c r="I60" s="263"/>
      <c r="J60" s="264"/>
      <c r="K60" s="325"/>
      <c r="L60" s="263"/>
      <c r="M60" s="264"/>
      <c r="N60" s="264"/>
    </row>
    <row r="61" spans="1:14" s="266" customFormat="1" ht="12.75" hidden="1" thickBot="1">
      <c r="A61" s="1240"/>
      <c r="B61" s="1242"/>
      <c r="C61" s="1244"/>
      <c r="D61" s="1261"/>
      <c r="E61" s="1261"/>
      <c r="F61" s="1242"/>
      <c r="G61" s="1248"/>
      <c r="H61" s="1248"/>
      <c r="I61" s="411"/>
      <c r="J61" s="424"/>
      <c r="K61" s="435"/>
      <c r="L61" s="411"/>
      <c r="M61" s="424"/>
      <c r="N61" s="424"/>
    </row>
    <row r="62" spans="1:14" s="266" customFormat="1" ht="13.5" customHeight="1" hidden="1">
      <c r="A62" s="1308"/>
      <c r="B62" s="1308"/>
      <c r="C62" s="1315"/>
      <c r="D62" s="1412"/>
      <c r="E62" s="1412"/>
      <c r="F62" s="1308"/>
      <c r="G62" s="1413"/>
      <c r="H62" s="1413"/>
      <c r="I62" s="269"/>
      <c r="J62" s="267"/>
      <c r="K62" s="268"/>
      <c r="L62" s="269"/>
      <c r="M62" s="267"/>
      <c r="N62" s="267"/>
    </row>
    <row r="63" spans="1:14" s="266" customFormat="1" ht="13.5" customHeight="1" hidden="1">
      <c r="A63" s="1308"/>
      <c r="B63" s="1308"/>
      <c r="C63" s="1315"/>
      <c r="D63" s="1412"/>
      <c r="E63" s="1412"/>
      <c r="F63" s="1308"/>
      <c r="G63" s="1413"/>
      <c r="H63" s="1413"/>
      <c r="I63" s="413"/>
      <c r="J63" s="307"/>
      <c r="K63" s="430"/>
      <c r="L63" s="269"/>
      <c r="M63" s="307"/>
      <c r="N63" s="307"/>
    </row>
    <row r="64" spans="1:14" s="266" customFormat="1" ht="13.5" customHeight="1" hidden="1">
      <c r="A64" s="1239"/>
      <c r="B64" s="1241"/>
      <c r="C64" s="1243"/>
      <c r="D64" s="1257"/>
      <c r="E64" s="1257"/>
      <c r="F64" s="1241"/>
      <c r="G64" s="1247"/>
      <c r="H64" s="1249"/>
      <c r="I64" s="410"/>
      <c r="J64" s="423"/>
      <c r="K64" s="434"/>
      <c r="L64" s="263"/>
      <c r="M64" s="423"/>
      <c r="N64" s="423"/>
    </row>
    <row r="65" spans="1:14" s="266" customFormat="1" ht="13.5" customHeight="1" hidden="1">
      <c r="A65" s="1307"/>
      <c r="B65" s="1393"/>
      <c r="C65" s="1315"/>
      <c r="D65" s="1258"/>
      <c r="E65" s="1258"/>
      <c r="F65" s="1308"/>
      <c r="G65" s="1256"/>
      <c r="H65" s="1414"/>
      <c r="I65" s="415"/>
      <c r="J65" s="302"/>
      <c r="K65" s="431"/>
      <c r="L65" s="415"/>
      <c r="M65" s="302"/>
      <c r="N65" s="302"/>
    </row>
    <row r="66" spans="1:14" s="293" customFormat="1" ht="13.5" customHeight="1" hidden="1">
      <c r="A66" s="1307"/>
      <c r="B66" s="285"/>
      <c r="C66" s="286"/>
      <c r="D66" s="287"/>
      <c r="E66" s="287"/>
      <c r="F66" s="280"/>
      <c r="G66" s="288"/>
      <c r="H66" s="289"/>
      <c r="I66" s="282"/>
      <c r="J66" s="290"/>
      <c r="K66" s="291"/>
      <c r="L66" s="292"/>
      <c r="M66" s="290"/>
      <c r="N66" s="290"/>
    </row>
    <row r="67" spans="1:14" s="266" customFormat="1" ht="13.5" customHeight="1" hidden="1">
      <c r="A67" s="1307"/>
      <c r="B67" s="1406"/>
      <c r="C67" s="417"/>
      <c r="D67" s="1415"/>
      <c r="E67" s="1415"/>
      <c r="F67" s="1236"/>
      <c r="G67" s="1416"/>
      <c r="H67" s="1417"/>
      <c r="I67" s="414"/>
      <c r="J67" s="414"/>
      <c r="K67" s="414"/>
      <c r="L67" s="258"/>
      <c r="M67" s="414"/>
      <c r="N67" s="414"/>
    </row>
    <row r="68" spans="1:14" s="266" customFormat="1" ht="13.5" customHeight="1" hidden="1">
      <c r="A68" s="1307"/>
      <c r="B68" s="1407"/>
      <c r="C68" s="416"/>
      <c r="D68" s="1415"/>
      <c r="E68" s="1415"/>
      <c r="F68" s="1236"/>
      <c r="G68" s="1416"/>
      <c r="H68" s="1417"/>
      <c r="I68" s="415"/>
      <c r="J68" s="415"/>
      <c r="K68" s="415"/>
      <c r="L68" s="415"/>
      <c r="M68" s="415"/>
      <c r="N68" s="415"/>
    </row>
    <row r="69" spans="1:14" s="266" customFormat="1" ht="13.5" customHeight="1" hidden="1">
      <c r="A69" s="1307"/>
      <c r="B69" s="1407"/>
      <c r="C69" s="416"/>
      <c r="D69" s="428"/>
      <c r="E69" s="428"/>
      <c r="F69" s="432"/>
      <c r="G69" s="432"/>
      <c r="H69" s="426"/>
      <c r="I69" s="413"/>
      <c r="J69" s="307"/>
      <c r="K69" s="414"/>
      <c r="L69" s="414"/>
      <c r="M69" s="414"/>
      <c r="N69" s="414"/>
    </row>
    <row r="70" spans="1:14" s="266" customFormat="1" ht="13.5" customHeight="1" hidden="1">
      <c r="A70" s="1307"/>
      <c r="B70" s="1408"/>
      <c r="C70" s="416"/>
      <c r="D70" s="428"/>
      <c r="E70" s="428"/>
      <c r="F70" s="432"/>
      <c r="G70" s="432"/>
      <c r="H70" s="426"/>
      <c r="I70" s="413"/>
      <c r="J70" s="307"/>
      <c r="K70" s="415"/>
      <c r="L70" s="415"/>
      <c r="M70" s="415"/>
      <c r="N70" s="415"/>
    </row>
    <row r="71" spans="1:14" s="266" customFormat="1" ht="13.5" customHeight="1" hidden="1">
      <c r="A71" s="1307"/>
      <c r="B71" s="1406"/>
      <c r="C71" s="1409"/>
      <c r="D71" s="1410"/>
      <c r="E71" s="1401"/>
      <c r="F71" s="1328"/>
      <c r="G71" s="1328"/>
      <c r="H71" s="1404"/>
      <c r="I71" s="414"/>
      <c r="J71" s="414"/>
      <c r="K71" s="414"/>
      <c r="L71" s="258"/>
      <c r="M71" s="414"/>
      <c r="N71" s="414"/>
    </row>
    <row r="72" spans="1:14" s="266" customFormat="1" ht="26.25" customHeight="1" hidden="1">
      <c r="A72" s="1307"/>
      <c r="B72" s="1407"/>
      <c r="C72" s="1315"/>
      <c r="D72" s="1411"/>
      <c r="E72" s="1412"/>
      <c r="F72" s="1308"/>
      <c r="G72" s="1405"/>
      <c r="H72" s="1413"/>
      <c r="I72" s="415"/>
      <c r="J72" s="415"/>
      <c r="K72" s="415"/>
      <c r="L72" s="415"/>
      <c r="M72" s="415"/>
      <c r="N72" s="415"/>
    </row>
    <row r="73" spans="1:14" s="266" customFormat="1" ht="13.5" customHeight="1" hidden="1">
      <c r="A73" s="1307"/>
      <c r="B73" s="1407"/>
      <c r="C73" s="416"/>
      <c r="D73" s="303"/>
      <c r="E73" s="428"/>
      <c r="F73" s="432"/>
      <c r="G73" s="432"/>
      <c r="H73" s="426"/>
      <c r="I73" s="413"/>
      <c r="J73" s="307"/>
      <c r="K73" s="430"/>
      <c r="L73" s="413"/>
      <c r="M73" s="307"/>
      <c r="N73" s="307"/>
    </row>
    <row r="74" spans="1:14" s="266" customFormat="1" ht="13.5" customHeight="1" hidden="1">
      <c r="A74" s="1307"/>
      <c r="B74" s="1407"/>
      <c r="C74" s="416"/>
      <c r="D74" s="303"/>
      <c r="E74" s="428"/>
      <c r="F74" s="432"/>
      <c r="G74" s="432"/>
      <c r="H74" s="426"/>
      <c r="I74" s="413"/>
      <c r="J74" s="307"/>
      <c r="K74" s="430"/>
      <c r="L74" s="413"/>
      <c r="M74" s="307"/>
      <c r="N74" s="307"/>
    </row>
    <row r="75" spans="1:14" s="266" customFormat="1" ht="13.5" customHeight="1" hidden="1">
      <c r="A75" s="1307"/>
      <c r="B75" s="1408"/>
      <c r="C75" s="436"/>
      <c r="D75" s="303"/>
      <c r="E75" s="428"/>
      <c r="F75" s="432"/>
      <c r="G75" s="432"/>
      <c r="H75" s="426"/>
      <c r="I75" s="415"/>
      <c r="J75" s="302"/>
      <c r="K75" s="431"/>
      <c r="L75" s="415"/>
      <c r="M75" s="302"/>
      <c r="N75" s="302"/>
    </row>
    <row r="76" spans="1:14" s="266" customFormat="1" ht="13.5" customHeight="1" hidden="1">
      <c r="A76" s="1307"/>
      <c r="B76" s="1394"/>
      <c r="C76" s="1315"/>
      <c r="D76" s="1401"/>
      <c r="E76" s="1401"/>
      <c r="F76" s="1328"/>
      <c r="G76" s="1328"/>
      <c r="H76" s="1404"/>
      <c r="I76" s="414"/>
      <c r="J76" s="304"/>
      <c r="K76" s="429"/>
      <c r="L76" s="258"/>
      <c r="M76" s="304"/>
      <c r="N76" s="304"/>
    </row>
    <row r="77" spans="1:14" s="266" customFormat="1" ht="13.5" customHeight="1" hidden="1">
      <c r="A77" s="1240"/>
      <c r="B77" s="1242"/>
      <c r="C77" s="1244"/>
      <c r="D77" s="1261"/>
      <c r="E77" s="1261"/>
      <c r="F77" s="1248"/>
      <c r="G77" s="1248"/>
      <c r="H77" s="1250"/>
      <c r="I77" s="411"/>
      <c r="J77" s="424"/>
      <c r="K77" s="435"/>
      <c r="L77" s="332"/>
      <c r="M77" s="424"/>
      <c r="N77" s="424"/>
    </row>
    <row r="78" spans="1:14" s="266" customFormat="1" ht="12.75" hidden="1" thickBot="1">
      <c r="A78" s="1239"/>
      <c r="B78" s="1241"/>
      <c r="C78" s="1243"/>
      <c r="D78" s="1257"/>
      <c r="E78" s="1257"/>
      <c r="F78" s="1241"/>
      <c r="G78" s="1247"/>
      <c r="H78" s="1247"/>
      <c r="I78" s="263"/>
      <c r="J78" s="264"/>
      <c r="K78" s="325"/>
      <c r="L78" s="263"/>
      <c r="M78" s="264"/>
      <c r="N78" s="264"/>
    </row>
    <row r="79" spans="1:14" s="266" customFormat="1" ht="12.75" hidden="1" thickBot="1">
      <c r="A79" s="1240"/>
      <c r="B79" s="1242"/>
      <c r="C79" s="1244"/>
      <c r="D79" s="1261"/>
      <c r="E79" s="1261"/>
      <c r="F79" s="1242"/>
      <c r="G79" s="1248"/>
      <c r="H79" s="1248"/>
      <c r="I79" s="411"/>
      <c r="J79" s="424"/>
      <c r="K79" s="435"/>
      <c r="L79" s="411"/>
      <c r="M79" s="424"/>
      <c r="N79" s="424"/>
    </row>
    <row r="80" spans="1:14" s="272" customFormat="1" ht="24.75" customHeight="1">
      <c r="A80" s="1402"/>
      <c r="B80" s="336"/>
      <c r="C80" s="1306" t="s">
        <v>229</v>
      </c>
      <c r="D80" s="1306"/>
      <c r="E80" s="1306"/>
      <c r="F80" s="1288">
        <f aca="true" t="shared" si="0" ref="F80:N81">F8+F10+F14+F18+F20+F22+F24+F26+F28+F30+F32+F34+F36+F38+F40+F42+F44+F46+F48+F50+F52+F54+F56+F58+F60+F62+F64+F67+F71+F76+F78</f>
        <v>62.077</v>
      </c>
      <c r="G80" s="1288">
        <f t="shared" si="0"/>
        <v>62.077</v>
      </c>
      <c r="H80" s="1288">
        <f t="shared" si="0"/>
        <v>0</v>
      </c>
      <c r="I80" s="337">
        <f t="shared" si="0"/>
        <v>5</v>
      </c>
      <c r="J80" s="337">
        <f t="shared" si="0"/>
        <v>5</v>
      </c>
      <c r="K80" s="337">
        <f t="shared" si="0"/>
        <v>0</v>
      </c>
      <c r="L80" s="337">
        <f t="shared" si="0"/>
        <v>51</v>
      </c>
      <c r="M80" s="337">
        <f t="shared" si="0"/>
        <v>40</v>
      </c>
      <c r="N80" s="337">
        <f t="shared" si="0"/>
        <v>11</v>
      </c>
    </row>
    <row r="81" spans="1:14" s="272" customFormat="1" ht="12.75" thickBot="1">
      <c r="A81" s="1403"/>
      <c r="B81" s="273"/>
      <c r="C81" s="1253"/>
      <c r="D81" s="1253"/>
      <c r="E81" s="1253"/>
      <c r="F81" s="1255"/>
      <c r="G81" s="1255"/>
      <c r="H81" s="1255"/>
      <c r="I81" s="338">
        <f t="shared" si="0"/>
        <v>290.62</v>
      </c>
      <c r="J81" s="338">
        <f t="shared" si="0"/>
        <v>290.62</v>
      </c>
      <c r="K81" s="338">
        <f t="shared" si="0"/>
        <v>0</v>
      </c>
      <c r="L81" s="339">
        <f t="shared" si="0"/>
        <v>1592</v>
      </c>
      <c r="M81" s="339">
        <f t="shared" si="0"/>
        <v>1251</v>
      </c>
      <c r="N81" s="339">
        <f t="shared" si="0"/>
        <v>341</v>
      </c>
    </row>
    <row r="82" spans="1:14" s="1" customFormat="1" ht="12">
      <c r="A82" s="155"/>
      <c r="B82" s="155"/>
      <c r="C82" s="1397"/>
      <c r="D82" s="333" t="s">
        <v>450</v>
      </c>
      <c r="E82" s="334"/>
      <c r="F82" s="335">
        <f>SUMIF($D$8:$D$78,"=I",F8:F78)</f>
        <v>0</v>
      </c>
      <c r="G82" s="335">
        <f>SUMIF($D$8:$D$77,"=I",G8:G77)</f>
        <v>0</v>
      </c>
      <c r="H82" s="335">
        <f>SUMIF($D$8:$D$77,"=I",H8:H77)</f>
        <v>0</v>
      </c>
      <c r="I82" s="115"/>
      <c r="J82" s="115"/>
      <c r="K82" s="115"/>
      <c r="L82" s="115"/>
      <c r="M82" s="115"/>
      <c r="N82" s="115"/>
    </row>
    <row r="83" spans="1:14" s="1" customFormat="1" ht="12">
      <c r="A83" s="155"/>
      <c r="B83" s="155"/>
      <c r="C83" s="1398"/>
      <c r="D83" s="116" t="s">
        <v>100</v>
      </c>
      <c r="E83" s="113"/>
      <c r="F83" s="117">
        <f>SUMIF($D$8:$D$78,"=II",F8:F78)</f>
        <v>13.197</v>
      </c>
      <c r="G83" s="117">
        <f>SUMIF($D$8:$D$77,"=II",G8:G77)</f>
        <v>13.197</v>
      </c>
      <c r="H83" s="114">
        <f>SUMIF($D$8:$D$77,"=II",H8:H77)</f>
        <v>0</v>
      </c>
      <c r="I83" s="115"/>
      <c r="J83" s="115"/>
      <c r="K83" s="115"/>
      <c r="L83" s="115"/>
      <c r="M83" s="115"/>
      <c r="N83" s="115"/>
    </row>
    <row r="84" spans="1:14" s="1" customFormat="1" ht="12">
      <c r="A84" s="155"/>
      <c r="B84" s="155"/>
      <c r="C84" s="1398"/>
      <c r="D84" s="112" t="s">
        <v>102</v>
      </c>
      <c r="E84" s="113"/>
      <c r="F84" s="117">
        <f>SUMIF($D$8:$D$78,"=III",F8:F78)</f>
        <v>48.88</v>
      </c>
      <c r="G84" s="117">
        <f>SUMIF($D$8:$D$77,"=III",G8:G77)</f>
        <v>48.88</v>
      </c>
      <c r="H84" s="114">
        <f>SUMIF($D$8:$D$77,"=III",H8:H77)</f>
        <v>0</v>
      </c>
      <c r="I84" s="115"/>
      <c r="J84" s="115"/>
      <c r="K84" s="115"/>
      <c r="L84" s="115"/>
      <c r="M84" s="115"/>
      <c r="N84" s="115"/>
    </row>
    <row r="85" spans="1:14" s="1" customFormat="1" ht="12">
      <c r="A85" s="155"/>
      <c r="B85" s="155"/>
      <c r="C85" s="1398"/>
      <c r="D85" s="113" t="s">
        <v>27</v>
      </c>
      <c r="E85" s="118"/>
      <c r="F85" s="117">
        <f>SUMIF($D$8:$D$78,"=IV",F8:F78)</f>
        <v>0</v>
      </c>
      <c r="G85" s="117">
        <f>SUMIF($D$8:$D$77,"=IV",G8:G77)</f>
        <v>0</v>
      </c>
      <c r="H85" s="117">
        <f>SUMIF($D$8:$D$77,"=IV",H8:H77)</f>
        <v>0</v>
      </c>
      <c r="I85" s="115"/>
      <c r="J85" s="115"/>
      <c r="K85" s="115"/>
      <c r="L85" s="115"/>
      <c r="M85" s="115"/>
      <c r="N85" s="115"/>
    </row>
    <row r="86" spans="1:14" s="1" customFormat="1" ht="12">
      <c r="A86" s="156"/>
      <c r="B86" s="156"/>
      <c r="C86" s="1398"/>
      <c r="D86" s="113" t="s">
        <v>49</v>
      </c>
      <c r="E86" s="114"/>
      <c r="F86" s="117">
        <f>SUMIF($D$8:$D$78,"=V",F8:F78)</f>
        <v>0</v>
      </c>
      <c r="G86" s="117">
        <f>SUMIF($D$8:$D$78,"=V",G8:G78)</f>
        <v>0</v>
      </c>
      <c r="H86" s="114">
        <f>SUMIF($D$8:$D$77,"=V",H8:H77)</f>
        <v>0</v>
      </c>
      <c r="I86" s="115"/>
      <c r="J86" s="115"/>
      <c r="K86" s="207"/>
      <c r="L86" s="115"/>
      <c r="M86" s="115"/>
      <c r="N86" s="115"/>
    </row>
    <row r="87" spans="1:14" ht="12.75">
      <c r="A87" s="103"/>
      <c r="B87" s="54"/>
      <c r="C87" s="7"/>
      <c r="D87" s="54"/>
      <c r="E87" s="7"/>
      <c r="F87" s="102"/>
      <c r="G87" s="102"/>
      <c r="H87" s="102"/>
      <c r="I87" s="7"/>
      <c r="J87" s="7"/>
      <c r="K87" s="7"/>
      <c r="L87" s="7"/>
      <c r="M87" s="7"/>
      <c r="N87" s="7"/>
    </row>
    <row r="88" spans="3:7" ht="12.75">
      <c r="C88" s="7"/>
      <c r="D88" s="54"/>
      <c r="G88" s="48"/>
    </row>
    <row r="89" spans="3:4" ht="12.75">
      <c r="C89" s="7"/>
      <c r="D89" s="54"/>
    </row>
    <row r="90" spans="3:10" ht="12.75">
      <c r="C90" s="7"/>
      <c r="D90" s="54"/>
      <c r="J90" s="7"/>
    </row>
    <row r="91" spans="3:10" ht="12.75">
      <c r="C91" s="7"/>
      <c r="D91" s="54"/>
      <c r="J91" s="104"/>
    </row>
    <row r="92" spans="3:4" ht="12.75">
      <c r="C92" s="7"/>
      <c r="D92" s="54"/>
    </row>
    <row r="93" spans="3:4" ht="12.75">
      <c r="C93" s="7"/>
      <c r="D93" s="54"/>
    </row>
    <row r="94" spans="3:4" ht="12.75">
      <c r="C94" s="7"/>
      <c r="D94" s="54"/>
    </row>
    <row r="95" spans="3:4" ht="12.75">
      <c r="C95" s="7"/>
      <c r="D95" s="54"/>
    </row>
    <row r="96" spans="3:4" ht="12.75">
      <c r="C96" s="7"/>
      <c r="D96" s="54"/>
    </row>
    <row r="97" spans="3:4" ht="12.75">
      <c r="C97" s="7"/>
      <c r="D97" s="54"/>
    </row>
    <row r="98" spans="3:4" ht="12.75">
      <c r="C98" s="7"/>
      <c r="D98" s="54"/>
    </row>
    <row r="99" spans="3:4" ht="12.75">
      <c r="C99" s="7"/>
      <c r="D99" s="54"/>
    </row>
    <row r="100" spans="3:4" ht="12.75">
      <c r="C100" s="7"/>
      <c r="D100" s="54"/>
    </row>
    <row r="101" spans="3:4" ht="12.75">
      <c r="C101" s="7"/>
      <c r="D101" s="54"/>
    </row>
    <row r="102" spans="3:4" ht="12.75">
      <c r="C102" s="7"/>
      <c r="D102" s="54"/>
    </row>
    <row r="103" spans="3:4" ht="12.75">
      <c r="C103" s="7"/>
      <c r="D103" s="54"/>
    </row>
    <row r="104" spans="3:4" ht="12.75">
      <c r="C104" s="7"/>
      <c r="D104" s="54"/>
    </row>
    <row r="105" spans="3:4" ht="12.75">
      <c r="C105" s="7"/>
      <c r="D105" s="54"/>
    </row>
    <row r="106" spans="3:4" ht="12.75">
      <c r="C106" s="7"/>
      <c r="D106" s="54"/>
    </row>
    <row r="107" spans="3:4" ht="12.75">
      <c r="C107" s="7"/>
      <c r="D107" s="54"/>
    </row>
    <row r="108" spans="3:4" ht="12.75">
      <c r="C108" s="7"/>
      <c r="D108" s="54"/>
    </row>
  </sheetData>
  <sheetProtection/>
  <mergeCells count="270">
    <mergeCell ref="A1:N1"/>
    <mergeCell ref="A2:N2"/>
    <mergeCell ref="A3:N3"/>
    <mergeCell ref="A5:A7"/>
    <mergeCell ref="B5:B7"/>
    <mergeCell ref="C5:C7"/>
    <mergeCell ref="D5:D7"/>
    <mergeCell ref="E5:E7"/>
    <mergeCell ref="F5:F7"/>
    <mergeCell ref="G5:H5"/>
    <mergeCell ref="I5:K5"/>
    <mergeCell ref="L5:N5"/>
    <mergeCell ref="G6:G7"/>
    <mergeCell ref="H6:H7"/>
    <mergeCell ref="I6:I7"/>
    <mergeCell ref="J6:K6"/>
    <mergeCell ref="L6:L7"/>
    <mergeCell ref="M6:N6"/>
    <mergeCell ref="A8:A9"/>
    <mergeCell ref="B8:B9"/>
    <mergeCell ref="C8:C9"/>
    <mergeCell ref="D8:D9"/>
    <mergeCell ref="E8:E9"/>
    <mergeCell ref="F8:F9"/>
    <mergeCell ref="G8:G9"/>
    <mergeCell ref="H8:H9"/>
    <mergeCell ref="A10:A13"/>
    <mergeCell ref="B10:B13"/>
    <mergeCell ref="C10:C11"/>
    <mergeCell ref="D10:D11"/>
    <mergeCell ref="E10:E11"/>
    <mergeCell ref="F10:F11"/>
    <mergeCell ref="G10:G11"/>
    <mergeCell ref="H10:H11"/>
    <mergeCell ref="A14:A17"/>
    <mergeCell ref="B14:B17"/>
    <mergeCell ref="C14:C15"/>
    <mergeCell ref="D14:D15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77"/>
    <mergeCell ref="B64:B65"/>
    <mergeCell ref="C64:C65"/>
    <mergeCell ref="D64:D65"/>
    <mergeCell ref="E64:E65"/>
    <mergeCell ref="F64:F65"/>
    <mergeCell ref="G64:G65"/>
    <mergeCell ref="H64:H65"/>
    <mergeCell ref="B67:B70"/>
    <mergeCell ref="D67:D68"/>
    <mergeCell ref="E67:E68"/>
    <mergeCell ref="F67:F68"/>
    <mergeCell ref="G67:G68"/>
    <mergeCell ref="H67:H68"/>
    <mergeCell ref="B71:B75"/>
    <mergeCell ref="C71:C72"/>
    <mergeCell ref="D71:D72"/>
    <mergeCell ref="E71:E72"/>
    <mergeCell ref="F71:F72"/>
    <mergeCell ref="G71:G72"/>
    <mergeCell ref="H71:H72"/>
    <mergeCell ref="A78:A79"/>
    <mergeCell ref="B78:B79"/>
    <mergeCell ref="C78:C79"/>
    <mergeCell ref="D78:D79"/>
    <mergeCell ref="E78:E79"/>
    <mergeCell ref="B76:B77"/>
    <mergeCell ref="G76:G77"/>
    <mergeCell ref="A80:A81"/>
    <mergeCell ref="C80:C81"/>
    <mergeCell ref="D80:D81"/>
    <mergeCell ref="E80:E81"/>
    <mergeCell ref="F80:F81"/>
    <mergeCell ref="H76:H77"/>
    <mergeCell ref="C76:C77"/>
    <mergeCell ref="D76:D77"/>
    <mergeCell ref="E76:E77"/>
    <mergeCell ref="F76:F77"/>
    <mergeCell ref="G80:G81"/>
    <mergeCell ref="H80:H81"/>
    <mergeCell ref="F78:F79"/>
    <mergeCell ref="C82:C86"/>
    <mergeCell ref="G78:G79"/>
    <mergeCell ref="H78:H79"/>
  </mergeCells>
  <printOptions/>
  <pageMargins left="0.7086614173228347" right="0.5511811023622047" top="0.9448818897637796" bottom="0.5511811023622047" header="0.5511811023622047" footer="0.3937007874015748"/>
  <pageSetup firstPageNumber="9" useFirstPageNumber="1" fitToHeight="0" fitToWidth="1" horizontalDpi="300" verticalDpi="300" orientation="landscape" paperSize="9" scale="98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7"/>
  <sheetViews>
    <sheetView zoomScaleSheetLayoutView="100" zoomScalePageLayoutView="0" workbookViewId="0" topLeftCell="A1">
      <selection activeCell="O1" sqref="O1:U16384"/>
    </sheetView>
  </sheetViews>
  <sheetFormatPr defaultColWidth="9.00390625" defaultRowHeight="12.75"/>
  <cols>
    <col min="1" max="1" width="4.25390625" style="1" customWidth="1"/>
    <col min="2" max="2" width="11.875" style="1" customWidth="1"/>
    <col min="3" max="3" width="36.375" style="1" customWidth="1"/>
    <col min="4" max="4" width="9.25390625" style="1" customWidth="1"/>
    <col min="5" max="5" width="8.25390625" style="1" customWidth="1"/>
    <col min="6" max="6" width="9.125" style="1" customWidth="1"/>
    <col min="7" max="7" width="7.125" style="1" customWidth="1"/>
    <col min="8" max="8" width="7.625" style="1" customWidth="1"/>
    <col min="9" max="9" width="7.00390625" style="1" bestFit="1" customWidth="1"/>
    <col min="10" max="10" width="7.00390625" style="1" customWidth="1"/>
    <col min="11" max="11" width="6.875" style="1" customWidth="1"/>
    <col min="12" max="12" width="7.00390625" style="1" customWidth="1"/>
    <col min="13" max="13" width="6.75390625" style="1" customWidth="1"/>
    <col min="14" max="14" width="6.375" style="1" customWidth="1"/>
    <col min="15" max="16384" width="9.125" style="1" customWidth="1"/>
  </cols>
  <sheetData>
    <row r="1" spans="1:14" s="79" customFormat="1" ht="12">
      <c r="A1" s="1440" t="s">
        <v>3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</row>
    <row r="2" spans="1:14" s="79" customFormat="1" ht="12">
      <c r="A2" s="1440" t="s">
        <v>1225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</row>
    <row r="3" spans="1:14" s="79" customFormat="1" ht="12">
      <c r="A3" s="1440" t="s">
        <v>1412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</row>
    <row r="4" ht="10.5" customHeight="1" thickBot="1"/>
    <row r="5" spans="1:14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ht="13.5" customHeight="1" thickBot="1">
      <c r="A6" s="1226"/>
      <c r="B6" s="1204"/>
      <c r="C6" s="1214"/>
      <c r="D6" s="1204"/>
      <c r="E6" s="1212"/>
      <c r="F6" s="1204"/>
      <c r="G6" s="1203" t="s">
        <v>456</v>
      </c>
      <c r="H6" s="1224" t="s">
        <v>457</v>
      </c>
      <c r="I6" s="1222" t="s">
        <v>5</v>
      </c>
      <c r="J6" s="1220" t="s">
        <v>4</v>
      </c>
      <c r="K6" s="1221"/>
      <c r="L6" s="1222" t="s">
        <v>5</v>
      </c>
      <c r="M6" s="1219" t="s">
        <v>4</v>
      </c>
      <c r="N6" s="1218"/>
    </row>
    <row r="7" spans="1:14" ht="13.5" customHeight="1" thickBot="1">
      <c r="A7" s="1226"/>
      <c r="B7" s="1204"/>
      <c r="C7" s="1214"/>
      <c r="D7" s="1204"/>
      <c r="E7" s="1212"/>
      <c r="F7" s="1204"/>
      <c r="G7" s="1204"/>
      <c r="H7" s="1441"/>
      <c r="I7" s="1355"/>
      <c r="J7" s="21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2">
      <c r="A8" s="1239">
        <v>1</v>
      </c>
      <c r="B8" s="1241" t="s">
        <v>838</v>
      </c>
      <c r="C8" s="1243" t="s">
        <v>142</v>
      </c>
      <c r="D8" s="1257" t="s">
        <v>102</v>
      </c>
      <c r="E8" s="1251" t="s">
        <v>1243</v>
      </c>
      <c r="F8" s="1241">
        <f>G8+H8</f>
        <v>27.706</v>
      </c>
      <c r="G8" s="1247">
        <v>27.706</v>
      </c>
      <c r="H8" s="1249">
        <v>0</v>
      </c>
      <c r="I8" s="263">
        <f aca="true" t="shared" si="0" ref="I8:I53">J8+K8</f>
        <v>1</v>
      </c>
      <c r="J8" s="264">
        <v>1</v>
      </c>
      <c r="K8" s="265">
        <v>0</v>
      </c>
      <c r="L8" s="263">
        <f aca="true" t="shared" si="1" ref="L8:L53">M8+N8</f>
        <v>27</v>
      </c>
      <c r="M8" s="264">
        <v>26</v>
      </c>
      <c r="N8" s="263">
        <v>1</v>
      </c>
    </row>
    <row r="9" spans="1:14" s="266" customFormat="1" ht="30.75" customHeight="1" thickBot="1">
      <c r="A9" s="1240"/>
      <c r="B9" s="1242"/>
      <c r="C9" s="1244"/>
      <c r="D9" s="1261"/>
      <c r="E9" s="1439"/>
      <c r="F9" s="1242"/>
      <c r="G9" s="1248"/>
      <c r="H9" s="1250"/>
      <c r="I9" s="836">
        <f t="shared" si="0"/>
        <v>89.1</v>
      </c>
      <c r="J9" s="326">
        <v>89.1</v>
      </c>
      <c r="K9" s="846">
        <v>0</v>
      </c>
      <c r="L9" s="834">
        <f t="shared" si="1"/>
        <v>493</v>
      </c>
      <c r="M9" s="870">
        <v>482</v>
      </c>
      <c r="N9" s="834">
        <v>11</v>
      </c>
    </row>
    <row r="10" spans="1:14" s="266" customFormat="1" ht="12">
      <c r="A10" s="1239">
        <v>2</v>
      </c>
      <c r="B10" s="1241" t="s">
        <v>839</v>
      </c>
      <c r="C10" s="1243" t="s">
        <v>143</v>
      </c>
      <c r="D10" s="1257" t="s">
        <v>27</v>
      </c>
      <c r="E10" s="1257" t="s">
        <v>680</v>
      </c>
      <c r="F10" s="1247">
        <f>G10+H10</f>
        <v>14.52</v>
      </c>
      <c r="G10" s="1247">
        <v>3.258</v>
      </c>
      <c r="H10" s="1247">
        <v>11.262</v>
      </c>
      <c r="I10" s="263">
        <f t="shared" si="0"/>
        <v>0</v>
      </c>
      <c r="J10" s="265">
        <v>0</v>
      </c>
      <c r="K10" s="325">
        <v>0</v>
      </c>
      <c r="L10" s="263">
        <f t="shared" si="1"/>
        <v>3</v>
      </c>
      <c r="M10" s="265">
        <v>3</v>
      </c>
      <c r="N10" s="263">
        <v>0</v>
      </c>
    </row>
    <row r="11" spans="1:14" s="266" customFormat="1" ht="12.75" thickBot="1">
      <c r="A11" s="1240"/>
      <c r="B11" s="1242"/>
      <c r="C11" s="1244"/>
      <c r="D11" s="1261"/>
      <c r="E11" s="1261"/>
      <c r="F11" s="1248"/>
      <c r="G11" s="1248"/>
      <c r="H11" s="1248"/>
      <c r="I11" s="834">
        <f t="shared" si="0"/>
        <v>0</v>
      </c>
      <c r="J11" s="846">
        <v>0</v>
      </c>
      <c r="K11" s="869">
        <v>0</v>
      </c>
      <c r="L11" s="834">
        <f t="shared" si="1"/>
        <v>54</v>
      </c>
      <c r="M11" s="846">
        <v>54</v>
      </c>
      <c r="N11" s="834">
        <v>0</v>
      </c>
    </row>
    <row r="12" spans="1:14" s="266" customFormat="1" ht="12">
      <c r="A12" s="1239">
        <v>3</v>
      </c>
      <c r="B12" s="1241" t="s">
        <v>840</v>
      </c>
      <c r="C12" s="1243" t="s">
        <v>421</v>
      </c>
      <c r="D12" s="1257" t="s">
        <v>27</v>
      </c>
      <c r="E12" s="1241" t="s">
        <v>1260</v>
      </c>
      <c r="F12" s="1241">
        <f>G12+H12</f>
        <v>18.633</v>
      </c>
      <c r="G12" s="1247">
        <v>18.633</v>
      </c>
      <c r="H12" s="1249">
        <v>0</v>
      </c>
      <c r="I12" s="263">
        <f t="shared" si="0"/>
        <v>1</v>
      </c>
      <c r="J12" s="264">
        <v>1</v>
      </c>
      <c r="K12" s="325">
        <v>0</v>
      </c>
      <c r="L12" s="263">
        <f t="shared" si="1"/>
        <v>8</v>
      </c>
      <c r="M12" s="264">
        <v>8</v>
      </c>
      <c r="N12" s="263">
        <v>0</v>
      </c>
    </row>
    <row r="13" spans="1:14" s="266" customFormat="1" ht="12.75" thickBot="1">
      <c r="A13" s="1240"/>
      <c r="B13" s="1242"/>
      <c r="C13" s="1244"/>
      <c r="D13" s="1261"/>
      <c r="E13" s="1242"/>
      <c r="F13" s="1242"/>
      <c r="G13" s="1248"/>
      <c r="H13" s="1250"/>
      <c r="I13" s="836">
        <f t="shared" si="0"/>
        <v>44.15</v>
      </c>
      <c r="J13" s="326">
        <v>44.15</v>
      </c>
      <c r="K13" s="869">
        <v>0</v>
      </c>
      <c r="L13" s="834">
        <f t="shared" si="1"/>
        <v>128</v>
      </c>
      <c r="M13" s="870">
        <v>128</v>
      </c>
      <c r="N13" s="834">
        <v>0</v>
      </c>
    </row>
    <row r="14" spans="1:14" s="266" customFormat="1" ht="12">
      <c r="A14" s="1239">
        <v>4</v>
      </c>
      <c r="B14" s="1241" t="s">
        <v>841</v>
      </c>
      <c r="C14" s="1243" t="s">
        <v>491</v>
      </c>
      <c r="D14" s="1257" t="s">
        <v>27</v>
      </c>
      <c r="E14" s="1257" t="s">
        <v>1244</v>
      </c>
      <c r="F14" s="1241">
        <f>G14+H14</f>
        <v>41.354</v>
      </c>
      <c r="G14" s="1247">
        <v>21.3</v>
      </c>
      <c r="H14" s="1247">
        <f>19.2+0.854</f>
        <v>20.054</v>
      </c>
      <c r="I14" s="263">
        <f t="shared" si="0"/>
        <v>4</v>
      </c>
      <c r="J14" s="264">
        <v>4</v>
      </c>
      <c r="K14" s="265">
        <v>0</v>
      </c>
      <c r="L14" s="263">
        <f t="shared" si="1"/>
        <v>26</v>
      </c>
      <c r="M14" s="264">
        <v>22</v>
      </c>
      <c r="N14" s="263">
        <v>4</v>
      </c>
    </row>
    <row r="15" spans="1:14" s="266" customFormat="1" ht="12.75" thickBot="1">
      <c r="A15" s="1240"/>
      <c r="B15" s="1242"/>
      <c r="C15" s="1244"/>
      <c r="D15" s="1261"/>
      <c r="E15" s="1261"/>
      <c r="F15" s="1242"/>
      <c r="G15" s="1248"/>
      <c r="H15" s="1248"/>
      <c r="I15" s="836">
        <f t="shared" si="0"/>
        <v>133.35</v>
      </c>
      <c r="J15" s="326">
        <v>133.35</v>
      </c>
      <c r="K15" s="846">
        <v>0</v>
      </c>
      <c r="L15" s="834">
        <f t="shared" si="1"/>
        <v>537</v>
      </c>
      <c r="M15" s="870">
        <v>479</v>
      </c>
      <c r="N15" s="834">
        <v>58</v>
      </c>
    </row>
    <row r="16" spans="1:14" s="266" customFormat="1" ht="12">
      <c r="A16" s="1239">
        <v>5</v>
      </c>
      <c r="B16" s="1241" t="s">
        <v>842</v>
      </c>
      <c r="C16" s="1243" t="s">
        <v>144</v>
      </c>
      <c r="D16" s="1257" t="s">
        <v>27</v>
      </c>
      <c r="E16" s="1257" t="s">
        <v>145</v>
      </c>
      <c r="F16" s="1241">
        <f>G16+H16</f>
        <v>6.5</v>
      </c>
      <c r="G16" s="1249">
        <v>6.5</v>
      </c>
      <c r="H16" s="1249">
        <v>0</v>
      </c>
      <c r="I16" s="263">
        <f t="shared" si="0"/>
        <v>0</v>
      </c>
      <c r="J16" s="265">
        <v>0</v>
      </c>
      <c r="K16" s="325">
        <v>0</v>
      </c>
      <c r="L16" s="263">
        <f t="shared" si="1"/>
        <v>7</v>
      </c>
      <c r="M16" s="265">
        <v>2</v>
      </c>
      <c r="N16" s="263">
        <v>5</v>
      </c>
    </row>
    <row r="17" spans="1:14" s="266" customFormat="1" ht="12.75" thickBot="1">
      <c r="A17" s="1240"/>
      <c r="B17" s="1242"/>
      <c r="C17" s="1244"/>
      <c r="D17" s="1261"/>
      <c r="E17" s="1261"/>
      <c r="F17" s="1242"/>
      <c r="G17" s="1250"/>
      <c r="H17" s="1250"/>
      <c r="I17" s="834">
        <f t="shared" si="0"/>
        <v>0</v>
      </c>
      <c r="J17" s="846">
        <v>0</v>
      </c>
      <c r="K17" s="869">
        <v>0</v>
      </c>
      <c r="L17" s="834">
        <f t="shared" si="1"/>
        <v>94</v>
      </c>
      <c r="M17" s="846">
        <v>24</v>
      </c>
      <c r="N17" s="834">
        <v>70</v>
      </c>
    </row>
    <row r="18" spans="1:14" s="266" customFormat="1" ht="12">
      <c r="A18" s="1239">
        <v>6</v>
      </c>
      <c r="B18" s="1241" t="s">
        <v>843</v>
      </c>
      <c r="C18" s="1243" t="s">
        <v>146</v>
      </c>
      <c r="D18" s="1257" t="s">
        <v>27</v>
      </c>
      <c r="E18" s="1257" t="s">
        <v>1275</v>
      </c>
      <c r="F18" s="1241">
        <f>G18+H18</f>
        <v>28.134999999999998</v>
      </c>
      <c r="G18" s="1247">
        <v>3.2</v>
      </c>
      <c r="H18" s="1247">
        <v>24.935</v>
      </c>
      <c r="I18" s="263">
        <f t="shared" si="0"/>
        <v>0</v>
      </c>
      <c r="J18" s="264">
        <v>0</v>
      </c>
      <c r="K18" s="325">
        <v>0</v>
      </c>
      <c r="L18" s="263">
        <f t="shared" si="1"/>
        <v>14</v>
      </c>
      <c r="M18" s="264">
        <v>14</v>
      </c>
      <c r="N18" s="263">
        <v>0</v>
      </c>
    </row>
    <row r="19" spans="1:14" s="266" customFormat="1" ht="25.5" customHeight="1" thickBot="1">
      <c r="A19" s="1240"/>
      <c r="B19" s="1242"/>
      <c r="C19" s="1244"/>
      <c r="D19" s="1261"/>
      <c r="E19" s="1242"/>
      <c r="F19" s="1242"/>
      <c r="G19" s="1248"/>
      <c r="H19" s="1248"/>
      <c r="I19" s="834">
        <f t="shared" si="0"/>
        <v>0</v>
      </c>
      <c r="J19" s="870">
        <v>0</v>
      </c>
      <c r="K19" s="869">
        <v>0</v>
      </c>
      <c r="L19" s="834">
        <f t="shared" si="1"/>
        <v>364</v>
      </c>
      <c r="M19" s="870">
        <v>364</v>
      </c>
      <c r="N19" s="834">
        <v>0</v>
      </c>
    </row>
    <row r="20" spans="1:14" s="266" customFormat="1" ht="12">
      <c r="A20" s="1239">
        <v>7</v>
      </c>
      <c r="B20" s="1241" t="s">
        <v>844</v>
      </c>
      <c r="C20" s="1243" t="s">
        <v>147</v>
      </c>
      <c r="D20" s="1257" t="s">
        <v>27</v>
      </c>
      <c r="E20" s="1241" t="s">
        <v>1211</v>
      </c>
      <c r="F20" s="1247">
        <f aca="true" t="shared" si="2" ref="F20:F53">G20+H20</f>
        <v>9.78</v>
      </c>
      <c r="G20" s="1247">
        <v>9.78</v>
      </c>
      <c r="H20" s="1247">
        <v>0</v>
      </c>
      <c r="I20" s="263">
        <f t="shared" si="0"/>
        <v>3</v>
      </c>
      <c r="J20" s="265">
        <v>3</v>
      </c>
      <c r="K20" s="325">
        <v>0</v>
      </c>
      <c r="L20" s="263">
        <f t="shared" si="1"/>
        <v>8</v>
      </c>
      <c r="M20" s="265">
        <v>0</v>
      </c>
      <c r="N20" s="263">
        <v>8</v>
      </c>
    </row>
    <row r="21" spans="1:14" s="266" customFormat="1" ht="12.75" thickBot="1">
      <c r="A21" s="1240"/>
      <c r="B21" s="1242"/>
      <c r="C21" s="1244"/>
      <c r="D21" s="1261"/>
      <c r="E21" s="1242"/>
      <c r="F21" s="1248"/>
      <c r="G21" s="1248"/>
      <c r="H21" s="1248"/>
      <c r="I21" s="836">
        <f t="shared" si="0"/>
        <v>55.13</v>
      </c>
      <c r="J21" s="327">
        <v>55.13</v>
      </c>
      <c r="K21" s="869">
        <v>0</v>
      </c>
      <c r="L21" s="834">
        <f t="shared" si="1"/>
        <v>115</v>
      </c>
      <c r="M21" s="846">
        <v>0</v>
      </c>
      <c r="N21" s="834">
        <v>115</v>
      </c>
    </row>
    <row r="22" spans="1:14" s="266" customFormat="1" ht="12">
      <c r="A22" s="1239">
        <v>8</v>
      </c>
      <c r="B22" s="1241" t="s">
        <v>845</v>
      </c>
      <c r="C22" s="1243" t="s">
        <v>483</v>
      </c>
      <c r="D22" s="1257" t="s">
        <v>27</v>
      </c>
      <c r="E22" s="1241" t="s">
        <v>1278</v>
      </c>
      <c r="F22" s="1241">
        <f t="shared" si="2"/>
        <v>22.268</v>
      </c>
      <c r="G22" s="1249">
        <v>0</v>
      </c>
      <c r="H22" s="1247">
        <v>22.268</v>
      </c>
      <c r="I22" s="263">
        <f t="shared" si="0"/>
        <v>0</v>
      </c>
      <c r="J22" s="264">
        <v>0</v>
      </c>
      <c r="K22" s="325">
        <v>0</v>
      </c>
      <c r="L22" s="263">
        <f t="shared" si="1"/>
        <v>14</v>
      </c>
      <c r="M22" s="264">
        <v>10</v>
      </c>
      <c r="N22" s="263">
        <v>4</v>
      </c>
    </row>
    <row r="23" spans="1:14" s="266" customFormat="1" ht="12.75" thickBot="1">
      <c r="A23" s="1240"/>
      <c r="B23" s="1242"/>
      <c r="C23" s="1244"/>
      <c r="D23" s="1261"/>
      <c r="E23" s="1242"/>
      <c r="F23" s="1242"/>
      <c r="G23" s="1250"/>
      <c r="H23" s="1248"/>
      <c r="I23" s="834">
        <f t="shared" si="0"/>
        <v>0</v>
      </c>
      <c r="J23" s="870">
        <v>0</v>
      </c>
      <c r="K23" s="869">
        <v>0</v>
      </c>
      <c r="L23" s="834">
        <f t="shared" si="1"/>
        <v>234</v>
      </c>
      <c r="M23" s="870">
        <v>184</v>
      </c>
      <c r="N23" s="834">
        <v>50</v>
      </c>
    </row>
    <row r="24" spans="1:14" s="266" customFormat="1" ht="12">
      <c r="A24" s="1239">
        <v>9</v>
      </c>
      <c r="B24" s="1241" t="s">
        <v>846</v>
      </c>
      <c r="C24" s="1309" t="s">
        <v>148</v>
      </c>
      <c r="D24" s="1257" t="s">
        <v>102</v>
      </c>
      <c r="E24" s="1241" t="s">
        <v>1245</v>
      </c>
      <c r="F24" s="1241">
        <f t="shared" si="2"/>
        <v>15.426</v>
      </c>
      <c r="G24" s="1247">
        <v>15.426</v>
      </c>
      <c r="H24" s="1249">
        <v>0</v>
      </c>
      <c r="I24" s="263">
        <f t="shared" si="0"/>
        <v>3</v>
      </c>
      <c r="J24" s="264">
        <v>3</v>
      </c>
      <c r="K24" s="325">
        <v>0</v>
      </c>
      <c r="L24" s="263">
        <f t="shared" si="1"/>
        <v>6</v>
      </c>
      <c r="M24" s="264">
        <v>6</v>
      </c>
      <c r="N24" s="263">
        <v>0</v>
      </c>
    </row>
    <row r="25" spans="1:14" s="266" customFormat="1" ht="12.75" thickBot="1">
      <c r="A25" s="1240"/>
      <c r="B25" s="1242"/>
      <c r="C25" s="1310"/>
      <c r="D25" s="1261"/>
      <c r="E25" s="1242"/>
      <c r="F25" s="1242"/>
      <c r="G25" s="1248"/>
      <c r="H25" s="1250"/>
      <c r="I25" s="836">
        <f t="shared" si="0"/>
        <v>151.32</v>
      </c>
      <c r="J25" s="326">
        <f>145.64+5.68</f>
        <v>151.32</v>
      </c>
      <c r="K25" s="869">
        <v>0</v>
      </c>
      <c r="L25" s="834">
        <f t="shared" si="1"/>
        <v>187</v>
      </c>
      <c r="M25" s="870">
        <v>187</v>
      </c>
      <c r="N25" s="834">
        <v>0</v>
      </c>
    </row>
    <row r="26" spans="1:14" s="266" customFormat="1" ht="12">
      <c r="A26" s="1239">
        <v>10</v>
      </c>
      <c r="B26" s="1241" t="s">
        <v>847</v>
      </c>
      <c r="C26" s="1309" t="s">
        <v>492</v>
      </c>
      <c r="D26" s="1257" t="s">
        <v>49</v>
      </c>
      <c r="E26" s="1241" t="s">
        <v>681</v>
      </c>
      <c r="F26" s="1247">
        <f t="shared" si="2"/>
        <v>4.558</v>
      </c>
      <c r="G26" s="1247">
        <v>1.13</v>
      </c>
      <c r="H26" s="1247">
        <v>3.428</v>
      </c>
      <c r="I26" s="263">
        <f t="shared" si="0"/>
        <v>0</v>
      </c>
      <c r="J26" s="264">
        <v>0</v>
      </c>
      <c r="K26" s="325">
        <v>0</v>
      </c>
      <c r="L26" s="263">
        <f t="shared" si="1"/>
        <v>3</v>
      </c>
      <c r="M26" s="264">
        <v>3</v>
      </c>
      <c r="N26" s="263">
        <v>0</v>
      </c>
    </row>
    <row r="27" spans="1:14" s="266" customFormat="1" ht="12.75" thickBot="1">
      <c r="A27" s="1240"/>
      <c r="B27" s="1242"/>
      <c r="C27" s="1310"/>
      <c r="D27" s="1261"/>
      <c r="E27" s="1242"/>
      <c r="F27" s="1248"/>
      <c r="G27" s="1248"/>
      <c r="H27" s="1248"/>
      <c r="I27" s="834">
        <f t="shared" si="0"/>
        <v>0</v>
      </c>
      <c r="J27" s="870">
        <v>0</v>
      </c>
      <c r="K27" s="869">
        <v>0</v>
      </c>
      <c r="L27" s="834">
        <f t="shared" si="1"/>
        <v>45</v>
      </c>
      <c r="M27" s="870">
        <v>45</v>
      </c>
      <c r="N27" s="834">
        <v>0</v>
      </c>
    </row>
    <row r="28" spans="1:14" s="266" customFormat="1" ht="12">
      <c r="A28" s="1239">
        <v>11</v>
      </c>
      <c r="B28" s="1241" t="s">
        <v>848</v>
      </c>
      <c r="C28" s="1243" t="s">
        <v>149</v>
      </c>
      <c r="D28" s="1257" t="s">
        <v>27</v>
      </c>
      <c r="E28" s="1241" t="s">
        <v>1279</v>
      </c>
      <c r="F28" s="1241">
        <f t="shared" si="2"/>
        <v>17.564</v>
      </c>
      <c r="G28" s="1249">
        <v>0</v>
      </c>
      <c r="H28" s="1247">
        <v>17.564</v>
      </c>
      <c r="I28" s="263">
        <f t="shared" si="0"/>
        <v>0</v>
      </c>
      <c r="J28" s="264">
        <v>0</v>
      </c>
      <c r="K28" s="325">
        <v>0</v>
      </c>
      <c r="L28" s="263">
        <f>M28+N28</f>
        <v>9</v>
      </c>
      <c r="M28" s="264">
        <v>1</v>
      </c>
      <c r="N28" s="263">
        <v>8</v>
      </c>
    </row>
    <row r="29" spans="1:14" s="266" customFormat="1" ht="12.75" thickBot="1">
      <c r="A29" s="1240"/>
      <c r="B29" s="1242"/>
      <c r="C29" s="1244"/>
      <c r="D29" s="1261"/>
      <c r="E29" s="1242"/>
      <c r="F29" s="1242"/>
      <c r="G29" s="1250"/>
      <c r="H29" s="1248"/>
      <c r="I29" s="834">
        <f t="shared" si="0"/>
        <v>0</v>
      </c>
      <c r="J29" s="870">
        <v>0</v>
      </c>
      <c r="K29" s="869">
        <v>0</v>
      </c>
      <c r="L29" s="834">
        <f t="shared" si="1"/>
        <v>96</v>
      </c>
      <c r="M29" s="870">
        <v>10</v>
      </c>
      <c r="N29" s="834">
        <v>86</v>
      </c>
    </row>
    <row r="30" spans="1:14" s="266" customFormat="1" ht="12" customHeight="1" hidden="1" thickBot="1">
      <c r="A30" s="1308"/>
      <c r="B30" s="1308"/>
      <c r="C30" s="1315"/>
      <c r="D30" s="1412"/>
      <c r="E30" s="1308"/>
      <c r="F30" s="1308"/>
      <c r="G30" s="1413"/>
      <c r="H30" s="1413"/>
      <c r="I30" s="269"/>
      <c r="J30" s="267"/>
      <c r="K30" s="268"/>
      <c r="L30" s="269"/>
      <c r="M30" s="267"/>
      <c r="N30" s="269"/>
    </row>
    <row r="31" spans="1:14" s="266" customFormat="1" ht="12" customHeight="1" hidden="1">
      <c r="A31" s="1308"/>
      <c r="B31" s="1308"/>
      <c r="C31" s="1315"/>
      <c r="D31" s="1412"/>
      <c r="E31" s="1308"/>
      <c r="F31" s="1308"/>
      <c r="G31" s="1413"/>
      <c r="H31" s="1413"/>
      <c r="I31" s="842"/>
      <c r="J31" s="830"/>
      <c r="K31" s="868"/>
      <c r="L31" s="842"/>
      <c r="M31" s="830"/>
      <c r="N31" s="842"/>
    </row>
    <row r="32" spans="1:14" s="266" customFormat="1" ht="12">
      <c r="A32" s="1239">
        <v>12</v>
      </c>
      <c r="B32" s="1241" t="s">
        <v>1265</v>
      </c>
      <c r="C32" s="1243" t="s">
        <v>1258</v>
      </c>
      <c r="D32" s="1257" t="s">
        <v>49</v>
      </c>
      <c r="E32" s="1444" t="s">
        <v>1259</v>
      </c>
      <c r="F32" s="1318">
        <f>G32+H32</f>
        <v>0.854</v>
      </c>
      <c r="G32" s="1247">
        <v>0.854</v>
      </c>
      <c r="H32" s="1249"/>
      <c r="I32" s="845">
        <f>J32+K32</f>
        <v>1</v>
      </c>
      <c r="J32" s="833">
        <v>1</v>
      </c>
      <c r="K32" s="845"/>
      <c r="L32" s="833">
        <f>M32+N32</f>
        <v>0</v>
      </c>
      <c r="M32" s="838"/>
      <c r="N32" s="833"/>
    </row>
    <row r="33" spans="1:14" s="266" customFormat="1" ht="12.75" thickBot="1">
      <c r="A33" s="1240"/>
      <c r="B33" s="1242"/>
      <c r="C33" s="1244"/>
      <c r="D33" s="1261"/>
      <c r="E33" s="1445"/>
      <c r="F33" s="1429"/>
      <c r="G33" s="1248"/>
      <c r="H33" s="1250"/>
      <c r="I33" s="846">
        <f>J33+K33</f>
        <v>18.1</v>
      </c>
      <c r="J33" s="834">
        <v>18.1</v>
      </c>
      <c r="K33" s="846"/>
      <c r="L33" s="834">
        <f>M33+N33</f>
        <v>0</v>
      </c>
      <c r="M33" s="870"/>
      <c r="N33" s="834"/>
    </row>
    <row r="34" spans="1:14" s="266" customFormat="1" ht="12">
      <c r="A34" s="1307">
        <v>13</v>
      </c>
      <c r="B34" s="1308" t="s">
        <v>849</v>
      </c>
      <c r="C34" s="1315" t="s">
        <v>151</v>
      </c>
      <c r="D34" s="1412" t="s">
        <v>49</v>
      </c>
      <c r="E34" s="1412" t="s">
        <v>1212</v>
      </c>
      <c r="F34" s="1308">
        <f t="shared" si="2"/>
        <v>4.786</v>
      </c>
      <c r="G34" s="1405">
        <v>0</v>
      </c>
      <c r="H34" s="1405">
        <v>4.786</v>
      </c>
      <c r="I34" s="269">
        <f>J34+K34</f>
        <v>0</v>
      </c>
      <c r="J34" s="267">
        <v>0</v>
      </c>
      <c r="K34" s="268">
        <v>0</v>
      </c>
      <c r="L34" s="269">
        <f t="shared" si="1"/>
        <v>5</v>
      </c>
      <c r="M34" s="267">
        <v>2</v>
      </c>
      <c r="N34" s="269">
        <v>3</v>
      </c>
    </row>
    <row r="35" spans="1:14" s="266" customFormat="1" ht="12.75" thickBot="1">
      <c r="A35" s="1240"/>
      <c r="B35" s="1242"/>
      <c r="C35" s="1244"/>
      <c r="D35" s="1261"/>
      <c r="E35" s="1261"/>
      <c r="F35" s="1242"/>
      <c r="G35" s="1248"/>
      <c r="H35" s="1248"/>
      <c r="I35" s="834">
        <f>J35+K35</f>
        <v>0</v>
      </c>
      <c r="J35" s="870">
        <v>0</v>
      </c>
      <c r="K35" s="869">
        <v>0</v>
      </c>
      <c r="L35" s="834">
        <f t="shared" si="1"/>
        <v>60</v>
      </c>
      <c r="M35" s="870">
        <v>29</v>
      </c>
      <c r="N35" s="834">
        <v>31</v>
      </c>
    </row>
    <row r="36" spans="1:14" s="266" customFormat="1" ht="12.75" hidden="1" thickBot="1">
      <c r="A36" s="414">
        <v>15</v>
      </c>
      <c r="B36" s="414"/>
      <c r="C36" s="474"/>
      <c r="D36" s="419"/>
      <c r="E36" s="474"/>
      <c r="F36" s="298">
        <f t="shared" si="2"/>
        <v>0</v>
      </c>
      <c r="G36" s="418"/>
      <c r="H36" s="418"/>
      <c r="I36" s="421">
        <f t="shared" si="0"/>
        <v>0</v>
      </c>
      <c r="J36" s="414"/>
      <c r="K36" s="414"/>
      <c r="L36" s="414">
        <f t="shared" si="1"/>
        <v>0</v>
      </c>
      <c r="M36" s="414"/>
      <c r="N36" s="414"/>
    </row>
    <row r="37" spans="1:14" s="266" customFormat="1" ht="12.75" hidden="1" thickBot="1">
      <c r="A37" s="415"/>
      <c r="B37" s="415"/>
      <c r="C37" s="475"/>
      <c r="D37" s="420"/>
      <c r="E37" s="475"/>
      <c r="F37" s="298">
        <f t="shared" si="2"/>
        <v>0</v>
      </c>
      <c r="G37" s="425"/>
      <c r="H37" s="425"/>
      <c r="I37" s="302">
        <f t="shared" si="0"/>
        <v>0</v>
      </c>
      <c r="J37" s="415"/>
      <c r="K37" s="415"/>
      <c r="L37" s="414">
        <f t="shared" si="1"/>
        <v>0</v>
      </c>
      <c r="M37" s="415"/>
      <c r="N37" s="415"/>
    </row>
    <row r="38" spans="1:14" s="266" customFormat="1" ht="12.75" hidden="1" thickBot="1">
      <c r="A38" s="414">
        <v>16</v>
      </c>
      <c r="B38" s="414"/>
      <c r="C38" s="474"/>
      <c r="D38" s="419"/>
      <c r="E38" s="419"/>
      <c r="F38" s="298">
        <f t="shared" si="2"/>
        <v>0</v>
      </c>
      <c r="G38" s="418"/>
      <c r="H38" s="418"/>
      <c r="I38" s="421">
        <f t="shared" si="0"/>
        <v>0</v>
      </c>
      <c r="J38" s="414"/>
      <c r="K38" s="414"/>
      <c r="L38" s="414">
        <f t="shared" si="1"/>
        <v>0</v>
      </c>
      <c r="M38" s="414"/>
      <c r="N38" s="414"/>
    </row>
    <row r="39" spans="1:14" s="266" customFormat="1" ht="12.75" hidden="1" thickBot="1">
      <c r="A39" s="415"/>
      <c r="B39" s="415"/>
      <c r="C39" s="475"/>
      <c r="D39" s="420"/>
      <c r="E39" s="475"/>
      <c r="F39" s="298">
        <f t="shared" si="2"/>
        <v>0</v>
      </c>
      <c r="G39" s="425"/>
      <c r="H39" s="425"/>
      <c r="I39" s="302">
        <f t="shared" si="0"/>
        <v>0</v>
      </c>
      <c r="J39" s="415"/>
      <c r="K39" s="415"/>
      <c r="L39" s="414">
        <f t="shared" si="1"/>
        <v>0</v>
      </c>
      <c r="M39" s="415"/>
      <c r="N39" s="415"/>
    </row>
    <row r="40" spans="1:14" s="266" customFormat="1" ht="12.75" hidden="1" thickBot="1">
      <c r="A40" s="414">
        <v>17</v>
      </c>
      <c r="B40" s="414"/>
      <c r="C40" s="474"/>
      <c r="D40" s="419"/>
      <c r="E40" s="474"/>
      <c r="F40" s="298">
        <f t="shared" si="2"/>
        <v>0</v>
      </c>
      <c r="G40" s="418"/>
      <c r="H40" s="418"/>
      <c r="I40" s="421">
        <f t="shared" si="0"/>
        <v>0</v>
      </c>
      <c r="J40" s="414"/>
      <c r="K40" s="429"/>
      <c r="L40" s="422">
        <f t="shared" si="1"/>
        <v>0</v>
      </c>
      <c r="M40" s="304"/>
      <c r="N40" s="414"/>
    </row>
    <row r="41" spans="1:14" s="266" customFormat="1" ht="12.75" hidden="1" thickBot="1">
      <c r="A41" s="415"/>
      <c r="B41" s="415"/>
      <c r="C41" s="475"/>
      <c r="D41" s="420"/>
      <c r="E41" s="475"/>
      <c r="F41" s="298">
        <f t="shared" si="2"/>
        <v>0</v>
      </c>
      <c r="G41" s="412"/>
      <c r="H41" s="412"/>
      <c r="I41" s="302">
        <f t="shared" si="0"/>
        <v>0</v>
      </c>
      <c r="J41" s="415"/>
      <c r="K41" s="415"/>
      <c r="L41" s="422">
        <f t="shared" si="1"/>
        <v>0</v>
      </c>
      <c r="M41" s="415"/>
      <c r="N41" s="415"/>
    </row>
    <row r="42" spans="1:14" s="266" customFormat="1" ht="12.75" hidden="1" thickBot="1">
      <c r="A42" s="414">
        <v>18</v>
      </c>
      <c r="B42" s="414"/>
      <c r="C42" s="419"/>
      <c r="D42" s="419"/>
      <c r="E42" s="419"/>
      <c r="F42" s="298">
        <f t="shared" si="2"/>
        <v>0</v>
      </c>
      <c r="G42" s="425"/>
      <c r="H42" s="425"/>
      <c r="I42" s="422">
        <f t="shared" si="0"/>
        <v>0</v>
      </c>
      <c r="J42" s="414"/>
      <c r="K42" s="414"/>
      <c r="L42" s="413">
        <f t="shared" si="1"/>
        <v>0</v>
      </c>
      <c r="M42" s="414"/>
      <c r="N42" s="414"/>
    </row>
    <row r="43" spans="1:14" s="266" customFormat="1" ht="12.75" hidden="1" thickBot="1">
      <c r="A43" s="415"/>
      <c r="B43" s="415"/>
      <c r="C43" s="420"/>
      <c r="D43" s="420"/>
      <c r="E43" s="420"/>
      <c r="F43" s="298">
        <f t="shared" si="2"/>
        <v>0</v>
      </c>
      <c r="G43" s="412"/>
      <c r="H43" s="412"/>
      <c r="I43" s="422">
        <f t="shared" si="0"/>
        <v>0</v>
      </c>
      <c r="J43" s="415"/>
      <c r="K43" s="415"/>
      <c r="L43" s="422">
        <f t="shared" si="1"/>
        <v>0</v>
      </c>
      <c r="M43" s="415"/>
      <c r="N43" s="415"/>
    </row>
    <row r="44" spans="1:14" s="266" customFormat="1" ht="12.75" hidden="1" thickBot="1">
      <c r="A44" s="414">
        <v>19</v>
      </c>
      <c r="B44" s="414"/>
      <c r="C44" s="419"/>
      <c r="D44" s="419"/>
      <c r="E44" s="419"/>
      <c r="F44" s="298">
        <f t="shared" si="2"/>
        <v>0</v>
      </c>
      <c r="G44" s="418"/>
      <c r="H44" s="418"/>
      <c r="I44" s="422">
        <f t="shared" si="0"/>
        <v>0</v>
      </c>
      <c r="J44" s="414"/>
      <c r="K44" s="414"/>
      <c r="L44" s="413">
        <f t="shared" si="1"/>
        <v>0</v>
      </c>
      <c r="M44" s="414"/>
      <c r="N44" s="414"/>
    </row>
    <row r="45" spans="1:14" s="266" customFormat="1" ht="12.75" hidden="1" thickBot="1">
      <c r="A45" s="415"/>
      <c r="B45" s="415"/>
      <c r="C45" s="420"/>
      <c r="D45" s="420"/>
      <c r="E45" s="420"/>
      <c r="F45" s="298">
        <f t="shared" si="2"/>
        <v>0</v>
      </c>
      <c r="G45" s="412"/>
      <c r="H45" s="412"/>
      <c r="I45" s="422">
        <f t="shared" si="0"/>
        <v>0</v>
      </c>
      <c r="J45" s="415"/>
      <c r="K45" s="415"/>
      <c r="L45" s="422">
        <f t="shared" si="1"/>
        <v>0</v>
      </c>
      <c r="M45" s="415"/>
      <c r="N45" s="415"/>
    </row>
    <row r="46" spans="1:14" s="266" customFormat="1" ht="12.75" hidden="1" thickBot="1">
      <c r="A46" s="414">
        <v>20</v>
      </c>
      <c r="B46" s="414"/>
      <c r="C46" s="419"/>
      <c r="D46" s="419"/>
      <c r="E46" s="419"/>
      <c r="F46" s="298">
        <f t="shared" si="2"/>
        <v>0</v>
      </c>
      <c r="G46" s="418"/>
      <c r="H46" s="418"/>
      <c r="I46" s="422">
        <f t="shared" si="0"/>
        <v>0</v>
      </c>
      <c r="J46" s="414"/>
      <c r="K46" s="414"/>
      <c r="L46" s="413">
        <f t="shared" si="1"/>
        <v>0</v>
      </c>
      <c r="M46" s="414"/>
      <c r="N46" s="413"/>
    </row>
    <row r="47" spans="1:14" s="266" customFormat="1" ht="12.75" hidden="1" thickBot="1">
      <c r="A47" s="415"/>
      <c r="B47" s="415"/>
      <c r="C47" s="420"/>
      <c r="D47" s="427"/>
      <c r="E47" s="420"/>
      <c r="F47" s="298">
        <f t="shared" si="2"/>
        <v>0</v>
      </c>
      <c r="G47" s="412"/>
      <c r="H47" s="412"/>
      <c r="I47" s="422">
        <f t="shared" si="0"/>
        <v>0</v>
      </c>
      <c r="J47" s="415"/>
      <c r="K47" s="415"/>
      <c r="L47" s="422">
        <f t="shared" si="1"/>
        <v>0</v>
      </c>
      <c r="M47" s="415"/>
      <c r="N47" s="413"/>
    </row>
    <row r="48" spans="1:14" s="266" customFormat="1" ht="12.75" hidden="1" thickBot="1">
      <c r="A48" s="414">
        <v>21</v>
      </c>
      <c r="B48" s="414"/>
      <c r="C48" s="474"/>
      <c r="D48" s="419"/>
      <c r="E48" s="419"/>
      <c r="F48" s="298">
        <f t="shared" si="2"/>
        <v>0</v>
      </c>
      <c r="G48" s="418"/>
      <c r="H48" s="418"/>
      <c r="I48" s="413">
        <f t="shared" si="0"/>
        <v>0</v>
      </c>
      <c r="J48" s="414"/>
      <c r="K48" s="414"/>
      <c r="L48" s="422">
        <f t="shared" si="1"/>
        <v>0</v>
      </c>
      <c r="M48" s="414"/>
      <c r="N48" s="413"/>
    </row>
    <row r="49" spans="1:14" s="266" customFormat="1" ht="12.75" hidden="1" thickBot="1">
      <c r="A49" s="415"/>
      <c r="B49" s="415"/>
      <c r="C49" s="475"/>
      <c r="D49" s="420"/>
      <c r="E49" s="420"/>
      <c r="F49" s="298">
        <f t="shared" si="2"/>
        <v>0</v>
      </c>
      <c r="G49" s="412"/>
      <c r="H49" s="412"/>
      <c r="I49" s="422">
        <f t="shared" si="0"/>
        <v>0</v>
      </c>
      <c r="J49" s="415"/>
      <c r="K49" s="415"/>
      <c r="L49" s="422">
        <f t="shared" si="1"/>
        <v>0</v>
      </c>
      <c r="M49" s="415"/>
      <c r="N49" s="413"/>
    </row>
    <row r="50" spans="1:14" s="266" customFormat="1" ht="12.75" hidden="1" thickBot="1">
      <c r="A50" s="414">
        <v>22</v>
      </c>
      <c r="B50" s="414"/>
      <c r="C50" s="419"/>
      <c r="D50" s="419"/>
      <c r="E50" s="419"/>
      <c r="F50" s="298">
        <f t="shared" si="2"/>
        <v>0</v>
      </c>
      <c r="G50" s="418"/>
      <c r="H50" s="418"/>
      <c r="I50" s="422">
        <f t="shared" si="0"/>
        <v>0</v>
      </c>
      <c r="J50" s="414"/>
      <c r="K50" s="414"/>
      <c r="L50" s="413">
        <f t="shared" si="1"/>
        <v>0</v>
      </c>
      <c r="M50" s="414"/>
      <c r="N50" s="414"/>
    </row>
    <row r="51" spans="1:14" s="266" customFormat="1" ht="12.75" hidden="1" thickBot="1">
      <c r="A51" s="415"/>
      <c r="B51" s="415"/>
      <c r="C51" s="420"/>
      <c r="D51" s="420"/>
      <c r="E51" s="420"/>
      <c r="F51" s="298">
        <f t="shared" si="2"/>
        <v>0</v>
      </c>
      <c r="G51" s="412"/>
      <c r="H51" s="412"/>
      <c r="I51" s="422">
        <f t="shared" si="0"/>
        <v>0</v>
      </c>
      <c r="J51" s="415"/>
      <c r="K51" s="415"/>
      <c r="L51" s="422">
        <f t="shared" si="1"/>
        <v>0</v>
      </c>
      <c r="M51" s="415"/>
      <c r="N51" s="415"/>
    </row>
    <row r="52" spans="1:14" s="266" customFormat="1" ht="12.75" hidden="1" thickBot="1">
      <c r="A52" s="413">
        <v>23</v>
      </c>
      <c r="B52" s="413"/>
      <c r="C52" s="433"/>
      <c r="D52" s="419"/>
      <c r="E52" s="433"/>
      <c r="F52" s="298">
        <f t="shared" si="2"/>
        <v>0</v>
      </c>
      <c r="G52" s="425"/>
      <c r="H52" s="425"/>
      <c r="I52" s="422">
        <f t="shared" si="0"/>
        <v>0</v>
      </c>
      <c r="J52" s="413"/>
      <c r="K52" s="413"/>
      <c r="L52" s="422">
        <f t="shared" si="1"/>
        <v>0</v>
      </c>
      <c r="M52" s="413"/>
      <c r="N52" s="413"/>
    </row>
    <row r="53" spans="1:14" s="266" customFormat="1" ht="12.75" hidden="1" thickBot="1">
      <c r="A53" s="413"/>
      <c r="B53" s="413"/>
      <c r="C53" s="433"/>
      <c r="D53" s="427"/>
      <c r="E53" s="433"/>
      <c r="F53" s="298">
        <f t="shared" si="2"/>
        <v>0</v>
      </c>
      <c r="G53" s="425"/>
      <c r="H53" s="425"/>
      <c r="I53" s="413">
        <f t="shared" si="0"/>
        <v>0</v>
      </c>
      <c r="J53" s="413"/>
      <c r="K53" s="413"/>
      <c r="L53" s="413">
        <f t="shared" si="1"/>
        <v>0</v>
      </c>
      <c r="M53" s="413"/>
      <c r="N53" s="413"/>
    </row>
    <row r="54" spans="1:14" s="272" customFormat="1" ht="12">
      <c r="A54" s="1269"/>
      <c r="B54" s="476"/>
      <c r="C54" s="1269" t="s">
        <v>229</v>
      </c>
      <c r="D54" s="1306"/>
      <c r="E54" s="1306"/>
      <c r="F54" s="1288">
        <f aca="true" t="shared" si="3" ref="F54:N54">F8+F10+F12+F14+F16+F18+F20+F22+F24+F26+F28+F30+F34+F32</f>
        <v>212.08399999999997</v>
      </c>
      <c r="G54" s="1288">
        <f t="shared" si="3"/>
        <v>107.78699999999999</v>
      </c>
      <c r="H54" s="1288">
        <f t="shared" si="3"/>
        <v>104.297</v>
      </c>
      <c r="I54" s="441">
        <f t="shared" si="3"/>
        <v>13</v>
      </c>
      <c r="J54" s="441">
        <f t="shared" si="3"/>
        <v>13</v>
      </c>
      <c r="K54" s="441">
        <f t="shared" si="3"/>
        <v>0</v>
      </c>
      <c r="L54" s="441">
        <f t="shared" si="3"/>
        <v>130</v>
      </c>
      <c r="M54" s="441">
        <f t="shared" si="3"/>
        <v>97</v>
      </c>
      <c r="N54" s="441">
        <f t="shared" si="3"/>
        <v>33</v>
      </c>
    </row>
    <row r="55" spans="1:14" s="272" customFormat="1" ht="12.75" thickBot="1">
      <c r="A55" s="1271"/>
      <c r="B55" s="477"/>
      <c r="C55" s="1271"/>
      <c r="D55" s="1253"/>
      <c r="E55" s="1253"/>
      <c r="F55" s="1255"/>
      <c r="G55" s="1255"/>
      <c r="H55" s="1255"/>
      <c r="I55" s="274">
        <f aca="true" t="shared" si="4" ref="I55:N55">I9+I11+I13+I15+I17+I19+I21+I23+I25+I27+I29+I31+I35+I33</f>
        <v>491.15000000000003</v>
      </c>
      <c r="J55" s="274">
        <f t="shared" si="4"/>
        <v>491.15000000000003</v>
      </c>
      <c r="K55" s="274">
        <f t="shared" si="4"/>
        <v>0</v>
      </c>
      <c r="L55" s="449">
        <f t="shared" si="4"/>
        <v>2407</v>
      </c>
      <c r="M55" s="449">
        <f t="shared" si="4"/>
        <v>1986</v>
      </c>
      <c r="N55" s="449">
        <f t="shared" si="4"/>
        <v>421</v>
      </c>
    </row>
    <row r="56" spans="1:8" ht="12" hidden="1">
      <c r="A56" s="155"/>
      <c r="B56" s="155"/>
      <c r="C56" s="1442" t="s">
        <v>454</v>
      </c>
      <c r="D56" s="340" t="s">
        <v>450</v>
      </c>
      <c r="E56" s="341"/>
      <c r="F56" s="342">
        <f>SUMIF($D$8:$D$53,"=I",F8:F53)</f>
        <v>0</v>
      </c>
      <c r="G56" s="342">
        <f>SUMIF($D$8:$D$53,"=I",G8:G53)</f>
        <v>0</v>
      </c>
      <c r="H56" s="342">
        <f>SUMIF($D$8:$D$53,"=I",H8:H53)</f>
        <v>0</v>
      </c>
    </row>
    <row r="57" spans="1:8" ht="12" hidden="1">
      <c r="A57" s="155"/>
      <c r="B57" s="155"/>
      <c r="C57" s="1443"/>
      <c r="D57" s="77" t="s">
        <v>100</v>
      </c>
      <c r="E57" s="75"/>
      <c r="F57" s="124">
        <f>SUMIF($D$8:$D$53,"=II",F8:F53)</f>
        <v>0</v>
      </c>
      <c r="G57" s="124">
        <f>SUMIF($D$8:$D$53,"=II",G8:G53)</f>
        <v>0</v>
      </c>
      <c r="H57" s="124">
        <f>SUMIF($D$8:$D$53,"=II",H8:H53)</f>
        <v>0</v>
      </c>
    </row>
    <row r="58" spans="1:8" ht="12">
      <c r="A58" s="155"/>
      <c r="B58" s="155"/>
      <c r="C58" s="1443"/>
      <c r="D58" s="74" t="s">
        <v>102</v>
      </c>
      <c r="E58" s="75"/>
      <c r="F58" s="124">
        <f>SUMIF($D$8:$D$53,"=III",F8:F53)</f>
        <v>43.132</v>
      </c>
      <c r="G58" s="124">
        <f>SUMIF($D$8:$D$53,"=III",G8:G53)</f>
        <v>43.132</v>
      </c>
      <c r="H58" s="124">
        <f>SUMIF($D$8:$D$53,"=III",H8:H53)</f>
        <v>0</v>
      </c>
    </row>
    <row r="59" spans="1:8" ht="12">
      <c r="A59" s="155"/>
      <c r="B59" s="155"/>
      <c r="C59" s="1443"/>
      <c r="D59" s="75" t="s">
        <v>27</v>
      </c>
      <c r="E59" s="78"/>
      <c r="F59" s="124">
        <f>SUMIF($D$8:$D$53,"=IV",F8:F53)</f>
        <v>158.754</v>
      </c>
      <c r="G59" s="124">
        <f>SUMIF($D$8:$D$53,"=IV",G8:G53)</f>
        <v>62.67100000000001</v>
      </c>
      <c r="H59" s="124">
        <f>SUMIF($D$8:$D$53,"=IV",H8:H53)</f>
        <v>96.083</v>
      </c>
    </row>
    <row r="60" spans="1:8" ht="12">
      <c r="A60" s="156"/>
      <c r="B60" s="156"/>
      <c r="C60" s="1443"/>
      <c r="D60" s="75" t="s">
        <v>49</v>
      </c>
      <c r="E60" s="76"/>
      <c r="F60" s="124">
        <f>SUMIF($D$8:$D$53,"=V",F8:F53)</f>
        <v>10.198</v>
      </c>
      <c r="G60" s="124">
        <f>SUMIF($D$8:$D$53,"=V",G8:G53)</f>
        <v>1.984</v>
      </c>
      <c r="H60" s="124">
        <f>SUMIF($D$8:$D$53,"=V",H8:H53)</f>
        <v>8.213999999999999</v>
      </c>
    </row>
    <row r="61" spans="3:5" ht="12">
      <c r="C61" s="39"/>
      <c r="D61" s="39"/>
      <c r="E61" s="40"/>
    </row>
    <row r="62" spans="3:5" ht="12">
      <c r="C62" s="6"/>
      <c r="D62" s="6"/>
      <c r="E62" s="40"/>
    </row>
    <row r="63" spans="3:5" ht="12">
      <c r="C63" s="39"/>
      <c r="D63" s="39"/>
      <c r="E63" s="40"/>
    </row>
    <row r="64" spans="3:5" ht="12">
      <c r="C64" s="3"/>
      <c r="D64" s="3"/>
      <c r="E64" s="41"/>
    </row>
    <row r="65" spans="3:6" ht="12">
      <c r="C65" s="3"/>
      <c r="D65" s="3"/>
      <c r="F65" s="120"/>
    </row>
    <row r="66" spans="3:4" ht="12">
      <c r="C66" s="3"/>
      <c r="D66" s="3"/>
    </row>
    <row r="67" spans="3:4" ht="12">
      <c r="C67" s="3"/>
      <c r="D67" s="3"/>
    </row>
    <row r="68" spans="3:4" ht="12">
      <c r="C68" s="3"/>
      <c r="D68" s="3"/>
    </row>
    <row r="69" spans="3:9" ht="12">
      <c r="C69" s="3"/>
      <c r="D69" s="3"/>
      <c r="I69" s="31"/>
    </row>
    <row r="70" spans="3:9" ht="12">
      <c r="C70" s="3"/>
      <c r="D70" s="3"/>
      <c r="I70" s="31"/>
    </row>
    <row r="71" spans="3:4" ht="12">
      <c r="C71" s="3"/>
      <c r="D71" s="3"/>
    </row>
    <row r="72" spans="3:4" ht="12">
      <c r="C72" s="3"/>
      <c r="D72" s="3"/>
    </row>
    <row r="73" spans="3:4" ht="12">
      <c r="C73" s="3"/>
      <c r="D73" s="3"/>
    </row>
    <row r="74" spans="3:4" ht="12">
      <c r="C74" s="3"/>
      <c r="D74" s="3"/>
    </row>
    <row r="75" spans="3:4" ht="12">
      <c r="C75" s="3"/>
      <c r="D75" s="3"/>
    </row>
    <row r="76" spans="3:4" ht="12">
      <c r="C76" s="3"/>
      <c r="D76" s="3"/>
    </row>
    <row r="77" spans="3:4" ht="12">
      <c r="C77" s="3"/>
      <c r="D77" s="3"/>
    </row>
    <row r="78" spans="3:4" ht="12">
      <c r="C78" s="3"/>
      <c r="D78" s="3"/>
    </row>
    <row r="79" spans="3:4" ht="12">
      <c r="C79" s="3"/>
      <c r="D79" s="3"/>
    </row>
    <row r="80" spans="3:4" ht="12">
      <c r="C80" s="3"/>
      <c r="D80" s="3"/>
    </row>
    <row r="81" spans="3:4" ht="12">
      <c r="C81" s="3"/>
      <c r="D81" s="3"/>
    </row>
    <row r="82" spans="3:4" ht="12">
      <c r="C82" s="3"/>
      <c r="D82" s="3"/>
    </row>
    <row r="83" spans="3:4" ht="12">
      <c r="C83" s="3"/>
      <c r="D83" s="3"/>
    </row>
    <row r="84" spans="3:4" ht="12">
      <c r="C84" s="3"/>
      <c r="D84" s="3"/>
    </row>
    <row r="85" spans="3:4" ht="12">
      <c r="C85" s="3"/>
      <c r="D85" s="3"/>
    </row>
    <row r="86" spans="3:4" ht="12">
      <c r="C86" s="3"/>
      <c r="D86" s="3"/>
    </row>
    <row r="87" spans="3:4" ht="12">
      <c r="C87" s="3"/>
      <c r="D87" s="3"/>
    </row>
  </sheetData>
  <sheetProtection/>
  <mergeCells count="138">
    <mergeCell ref="H24:H25"/>
    <mergeCell ref="H8:H9"/>
    <mergeCell ref="L6:L7"/>
    <mergeCell ref="G5:H5"/>
    <mergeCell ref="I6:I7"/>
    <mergeCell ref="H54:H55"/>
    <mergeCell ref="G30:G31"/>
    <mergeCell ref="H30:H31"/>
    <mergeCell ref="G28:G29"/>
    <mergeCell ref="H34:H35"/>
    <mergeCell ref="H28:H29"/>
    <mergeCell ref="G32:G33"/>
    <mergeCell ref="H32:H33"/>
    <mergeCell ref="F16:F17"/>
    <mergeCell ref="H22:H23"/>
    <mergeCell ref="H16:H17"/>
    <mergeCell ref="H20:H21"/>
    <mergeCell ref="F22:F23"/>
    <mergeCell ref="G18:G19"/>
    <mergeCell ref="H18:H19"/>
    <mergeCell ref="F18:F19"/>
    <mergeCell ref="G20:G21"/>
    <mergeCell ref="G16:G17"/>
    <mergeCell ref="F54:F55"/>
    <mergeCell ref="G54:G55"/>
    <mergeCell ref="E34:E35"/>
    <mergeCell ref="F34:F35"/>
    <mergeCell ref="G34:G35"/>
    <mergeCell ref="E32:E33"/>
    <mergeCell ref="F32:F33"/>
    <mergeCell ref="E54:E55"/>
    <mergeCell ref="F28:F29"/>
    <mergeCell ref="A54:A55"/>
    <mergeCell ref="C54:C55"/>
    <mergeCell ref="D54:D55"/>
    <mergeCell ref="A34:A35"/>
    <mergeCell ref="C34:C35"/>
    <mergeCell ref="D34:D35"/>
    <mergeCell ref="B34:B35"/>
    <mergeCell ref="C32:C33"/>
    <mergeCell ref="D32:D33"/>
    <mergeCell ref="A26:A27"/>
    <mergeCell ref="B26:B27"/>
    <mergeCell ref="F26:F27"/>
    <mergeCell ref="A28:A29"/>
    <mergeCell ref="B28:B29"/>
    <mergeCell ref="E30:E31"/>
    <mergeCell ref="F30:F31"/>
    <mergeCell ref="A30:A31"/>
    <mergeCell ref="B30:B31"/>
    <mergeCell ref="C30:C31"/>
    <mergeCell ref="F24:F25"/>
    <mergeCell ref="G24:G25"/>
    <mergeCell ref="E18:E19"/>
    <mergeCell ref="D24:D25"/>
    <mergeCell ref="D18:D19"/>
    <mergeCell ref="G22:G23"/>
    <mergeCell ref="E20:E21"/>
    <mergeCell ref="E22:E23"/>
    <mergeCell ref="F20:F21"/>
    <mergeCell ref="D22:D23"/>
    <mergeCell ref="A24:A25"/>
    <mergeCell ref="B24:B25"/>
    <mergeCell ref="C24:C25"/>
    <mergeCell ref="A22:A23"/>
    <mergeCell ref="B22:B23"/>
    <mergeCell ref="C18:C19"/>
    <mergeCell ref="B18:B19"/>
    <mergeCell ref="B12:B13"/>
    <mergeCell ref="B16:B17"/>
    <mergeCell ref="C56:C60"/>
    <mergeCell ref="C28:C29"/>
    <mergeCell ref="D28:D29"/>
    <mergeCell ref="D30:D31"/>
    <mergeCell ref="C26:C27"/>
    <mergeCell ref="D26:D27"/>
    <mergeCell ref="C16:C17"/>
    <mergeCell ref="B32:B33"/>
    <mergeCell ref="E16:E17"/>
    <mergeCell ref="A20:A21"/>
    <mergeCell ref="B20:B21"/>
    <mergeCell ref="D14:D15"/>
    <mergeCell ref="D16:D17"/>
    <mergeCell ref="C20:C21"/>
    <mergeCell ref="D20:D21"/>
    <mergeCell ref="C14:C15"/>
    <mergeCell ref="A8:A9"/>
    <mergeCell ref="A10:A11"/>
    <mergeCell ref="A12:A13"/>
    <mergeCell ref="A14:A15"/>
    <mergeCell ref="A18:A19"/>
    <mergeCell ref="A16:A17"/>
    <mergeCell ref="B10:B11"/>
    <mergeCell ref="B14:B15"/>
    <mergeCell ref="B8:B9"/>
    <mergeCell ref="D5:D7"/>
    <mergeCell ref="C10:C11"/>
    <mergeCell ref="C12:C13"/>
    <mergeCell ref="D12:D13"/>
    <mergeCell ref="B5:B7"/>
    <mergeCell ref="D8:D9"/>
    <mergeCell ref="D10:D11"/>
    <mergeCell ref="A5:A7"/>
    <mergeCell ref="A1:N1"/>
    <mergeCell ref="A2:N2"/>
    <mergeCell ref="A3:N3"/>
    <mergeCell ref="J6:K6"/>
    <mergeCell ref="I5:K5"/>
    <mergeCell ref="C5:C7"/>
    <mergeCell ref="E5:E7"/>
    <mergeCell ref="M6:N6"/>
    <mergeCell ref="H6:H7"/>
    <mergeCell ref="L5:N5"/>
    <mergeCell ref="G12:G13"/>
    <mergeCell ref="H14:H15"/>
    <mergeCell ref="H12:H13"/>
    <mergeCell ref="F14:F15"/>
    <mergeCell ref="G10:G11"/>
    <mergeCell ref="F12:F13"/>
    <mergeCell ref="G14:G15"/>
    <mergeCell ref="H10:H11"/>
    <mergeCell ref="E12:E13"/>
    <mergeCell ref="E28:E29"/>
    <mergeCell ref="H26:H27"/>
    <mergeCell ref="F8:F9"/>
    <mergeCell ref="G8:G9"/>
    <mergeCell ref="F10:F11"/>
    <mergeCell ref="E24:E25"/>
    <mergeCell ref="G26:G27"/>
    <mergeCell ref="E26:E27"/>
    <mergeCell ref="E14:E15"/>
    <mergeCell ref="A32:A33"/>
    <mergeCell ref="E10:E11"/>
    <mergeCell ref="C8:C9"/>
    <mergeCell ref="E8:E9"/>
    <mergeCell ref="G6:G7"/>
    <mergeCell ref="C22:C23"/>
    <mergeCell ref="F5:F7"/>
  </mergeCells>
  <printOptions/>
  <pageMargins left="0.7874015748031497" right="0.5511811023622047" top="0.984251968503937" bottom="0.5118110236220472" header="0.5118110236220472" footer="0.5118110236220472"/>
  <pageSetup firstPageNumber="10" useFirstPageNumber="1" fitToHeight="0" fitToWidth="1" horizontalDpi="300" verticalDpi="300" orientation="landscape" paperSize="9" scale="84" r:id="rId1"/>
  <headerFooter alignWithMargins="0">
    <oddFooter>&amp;CСтраница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8"/>
  <sheetViews>
    <sheetView view="pageBreakPreview" zoomScaleSheetLayoutView="100" zoomScalePageLayoutView="0" workbookViewId="0" topLeftCell="A4">
      <selection activeCell="O4" sqref="O1:V16384"/>
    </sheetView>
  </sheetViews>
  <sheetFormatPr defaultColWidth="9.00390625" defaultRowHeight="12.75"/>
  <cols>
    <col min="1" max="1" width="5.00390625" style="0" customWidth="1"/>
    <col min="2" max="2" width="11.625" style="53" customWidth="1"/>
    <col min="3" max="3" width="32.75390625" style="0" customWidth="1"/>
    <col min="4" max="4" width="9.25390625" style="0" customWidth="1"/>
    <col min="5" max="5" width="9.375" style="0" customWidth="1"/>
    <col min="6" max="6" width="9.875" style="0" customWidth="1"/>
    <col min="7" max="7" width="7.875" style="0" customWidth="1"/>
    <col min="8" max="8" width="7.625" style="0" customWidth="1"/>
    <col min="9" max="9" width="6.625" style="0" customWidth="1"/>
    <col min="10" max="10" width="8.00390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6.87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1226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2.75">
      <c r="A3" s="1202" t="s">
        <v>1413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ht="10.5" customHeight="1" thickBot="1"/>
    <row r="5" spans="1:14" s="1" customFormat="1" ht="12.75" customHeight="1" thickBot="1">
      <c r="A5" s="1208" t="s">
        <v>9</v>
      </c>
      <c r="B5" s="1203" t="s">
        <v>735</v>
      </c>
      <c r="C5" s="1209" t="s">
        <v>455</v>
      </c>
      <c r="D5" s="1203" t="s">
        <v>231</v>
      </c>
      <c r="E5" s="1211" t="s">
        <v>622</v>
      </c>
      <c r="F5" s="1203" t="s">
        <v>623</v>
      </c>
      <c r="G5" s="1209" t="s">
        <v>4</v>
      </c>
      <c r="H5" s="1209"/>
      <c r="I5" s="1208" t="s">
        <v>458</v>
      </c>
      <c r="J5" s="1209"/>
      <c r="K5" s="1210"/>
      <c r="L5" s="1216" t="s">
        <v>19</v>
      </c>
      <c r="M5" s="1217"/>
      <c r="N5" s="1218"/>
    </row>
    <row r="6" spans="1:14" s="1" customFormat="1" ht="13.5" customHeight="1" thickBot="1">
      <c r="A6" s="1226"/>
      <c r="B6" s="1204"/>
      <c r="C6" s="1214"/>
      <c r="D6" s="1207"/>
      <c r="E6" s="1212"/>
      <c r="F6" s="1204"/>
      <c r="G6" s="1203" t="s">
        <v>456</v>
      </c>
      <c r="H6" s="1224" t="s">
        <v>457</v>
      </c>
      <c r="I6" s="1446" t="s">
        <v>5</v>
      </c>
      <c r="J6" s="1453" t="s">
        <v>4</v>
      </c>
      <c r="K6" s="1221"/>
      <c r="L6" s="1222" t="s">
        <v>5</v>
      </c>
      <c r="M6" s="1219" t="s">
        <v>4</v>
      </c>
      <c r="N6" s="1218"/>
    </row>
    <row r="7" spans="1:14" s="1" customFormat="1" ht="13.5" customHeight="1" thickBot="1">
      <c r="A7" s="1226"/>
      <c r="B7" s="1204"/>
      <c r="C7" s="1214"/>
      <c r="D7" s="1207"/>
      <c r="E7" s="1212"/>
      <c r="F7" s="1204"/>
      <c r="G7" s="1207"/>
      <c r="H7" s="1441"/>
      <c r="I7" s="1447"/>
      <c r="J7" s="95" t="s">
        <v>6</v>
      </c>
      <c r="K7" s="95" t="s">
        <v>7</v>
      </c>
      <c r="L7" s="1355"/>
      <c r="M7" s="95" t="s">
        <v>6</v>
      </c>
      <c r="N7" s="95" t="s">
        <v>7</v>
      </c>
    </row>
    <row r="8" spans="1:14" s="266" customFormat="1" ht="14.25" customHeight="1">
      <c r="A8" s="1228">
        <v>1</v>
      </c>
      <c r="B8" s="1189" t="s">
        <v>1210</v>
      </c>
      <c r="C8" s="1191" t="s">
        <v>671</v>
      </c>
      <c r="D8" s="1195" t="s">
        <v>669</v>
      </c>
      <c r="E8" s="1193" t="s">
        <v>668</v>
      </c>
      <c r="F8" s="1197">
        <f>G8+H8</f>
        <v>71</v>
      </c>
      <c r="G8" s="1197">
        <v>71</v>
      </c>
      <c r="H8" s="1455">
        <v>0</v>
      </c>
      <c r="I8" s="502">
        <f aca="true" t="shared" si="0" ref="I8:I31">J8+K8</f>
        <v>7</v>
      </c>
      <c r="J8" s="503">
        <v>6</v>
      </c>
      <c r="K8" s="503">
        <v>1</v>
      </c>
      <c r="L8" s="502">
        <f aca="true" t="shared" si="1" ref="L8:L31">M8+N8</f>
        <v>90</v>
      </c>
      <c r="M8" s="502">
        <v>83</v>
      </c>
      <c r="N8" s="504">
        <v>7</v>
      </c>
    </row>
    <row r="9" spans="1:14" s="266" customFormat="1" ht="33" customHeight="1">
      <c r="A9" s="1339"/>
      <c r="B9" s="1369"/>
      <c r="C9" s="1340"/>
      <c r="D9" s="1454"/>
      <c r="E9" s="1347"/>
      <c r="F9" s="1345"/>
      <c r="G9" s="1345"/>
      <c r="H9" s="1456"/>
      <c r="I9" s="578">
        <f t="shared" si="0"/>
        <v>334.66999999999996</v>
      </c>
      <c r="J9" s="553">
        <v>264.58</v>
      </c>
      <c r="K9" s="553">
        <v>70.09</v>
      </c>
      <c r="L9" s="581">
        <f t="shared" si="1"/>
        <v>1677</v>
      </c>
      <c r="M9" s="581">
        <v>1593</v>
      </c>
      <c r="N9" s="587">
        <v>84</v>
      </c>
    </row>
    <row r="10" spans="1:14" s="266" customFormat="1" ht="12">
      <c r="A10" s="1339"/>
      <c r="B10" s="1369"/>
      <c r="C10" s="1340"/>
      <c r="D10" s="513" t="s">
        <v>100</v>
      </c>
      <c r="E10" s="591" t="s">
        <v>596</v>
      </c>
      <c r="F10" s="583">
        <f>G10+H10</f>
        <v>68</v>
      </c>
      <c r="G10" s="583">
        <v>68</v>
      </c>
      <c r="H10" s="583"/>
      <c r="I10" s="584"/>
      <c r="J10" s="508"/>
      <c r="K10" s="508"/>
      <c r="L10" s="580"/>
      <c r="M10" s="525"/>
      <c r="N10" s="586"/>
    </row>
    <row r="11" spans="1:14" s="266" customFormat="1" ht="22.5" customHeight="1" thickBot="1">
      <c r="A11" s="1229"/>
      <c r="B11" s="1190"/>
      <c r="C11" s="1192"/>
      <c r="D11" s="514" t="s">
        <v>102</v>
      </c>
      <c r="E11" s="592" t="s">
        <v>670</v>
      </c>
      <c r="F11" s="559">
        <f>G11+H11</f>
        <v>3</v>
      </c>
      <c r="G11" s="559">
        <v>3</v>
      </c>
      <c r="H11" s="559"/>
      <c r="I11" s="577"/>
      <c r="J11" s="556"/>
      <c r="K11" s="556"/>
      <c r="L11" s="576"/>
      <c r="M11" s="589"/>
      <c r="N11" s="588"/>
    </row>
    <row r="12" spans="1:14" s="266" customFormat="1" ht="12">
      <c r="A12" s="1239">
        <v>2</v>
      </c>
      <c r="B12" s="1241" t="s">
        <v>800</v>
      </c>
      <c r="C12" s="1243" t="s">
        <v>542</v>
      </c>
      <c r="D12" s="1257" t="s">
        <v>27</v>
      </c>
      <c r="E12" s="1257" t="s">
        <v>1309</v>
      </c>
      <c r="F12" s="1241">
        <f>G12+H12</f>
        <v>19.986</v>
      </c>
      <c r="G12" s="1241">
        <v>19.986</v>
      </c>
      <c r="H12" s="1241">
        <v>0</v>
      </c>
      <c r="I12" s="263">
        <f aca="true" t="shared" si="2" ref="I12:I17">J12+K12</f>
        <v>0</v>
      </c>
      <c r="J12" s="325">
        <v>0</v>
      </c>
      <c r="K12" s="325">
        <v>0</v>
      </c>
      <c r="L12" s="263">
        <f aca="true" t="shared" si="3" ref="L12:L17">M12+N12</f>
        <v>10</v>
      </c>
      <c r="M12" s="265">
        <v>10</v>
      </c>
      <c r="N12" s="325">
        <v>0</v>
      </c>
    </row>
    <row r="13" spans="1:14" s="266" customFormat="1" ht="27" customHeight="1" thickBot="1">
      <c r="A13" s="1240"/>
      <c r="B13" s="1242"/>
      <c r="C13" s="1244"/>
      <c r="D13" s="1261"/>
      <c r="E13" s="1261"/>
      <c r="F13" s="1242"/>
      <c r="G13" s="1242"/>
      <c r="H13" s="1242"/>
      <c r="I13" s="411">
        <f t="shared" si="2"/>
        <v>0</v>
      </c>
      <c r="J13" s="435">
        <v>0</v>
      </c>
      <c r="K13" s="435">
        <v>0</v>
      </c>
      <c r="L13" s="411">
        <f t="shared" si="3"/>
        <v>167</v>
      </c>
      <c r="M13" s="440">
        <v>167</v>
      </c>
      <c r="N13" s="435">
        <v>0</v>
      </c>
    </row>
    <row r="14" spans="1:14" s="266" customFormat="1" ht="12">
      <c r="A14" s="1239">
        <v>3</v>
      </c>
      <c r="B14" s="1241" t="s">
        <v>805</v>
      </c>
      <c r="C14" s="1243" t="s">
        <v>543</v>
      </c>
      <c r="D14" s="1257" t="s">
        <v>27</v>
      </c>
      <c r="E14" s="1241" t="s">
        <v>1214</v>
      </c>
      <c r="F14" s="1241">
        <f>G14+H14</f>
        <v>6.111</v>
      </c>
      <c r="G14" s="1247">
        <v>6.111</v>
      </c>
      <c r="H14" s="1247">
        <v>0</v>
      </c>
      <c r="I14" s="263">
        <f t="shared" si="2"/>
        <v>0</v>
      </c>
      <c r="J14" s="325">
        <v>0</v>
      </c>
      <c r="K14" s="325">
        <v>0</v>
      </c>
      <c r="L14" s="263">
        <f t="shared" si="3"/>
        <v>9</v>
      </c>
      <c r="M14" s="264">
        <v>7</v>
      </c>
      <c r="N14" s="325">
        <v>2</v>
      </c>
    </row>
    <row r="15" spans="1:14" s="266" customFormat="1" ht="16.5" customHeight="1" thickBot="1">
      <c r="A15" s="1240"/>
      <c r="B15" s="1242"/>
      <c r="C15" s="1244"/>
      <c r="D15" s="1261"/>
      <c r="E15" s="1242"/>
      <c r="F15" s="1242"/>
      <c r="G15" s="1248"/>
      <c r="H15" s="1248"/>
      <c r="I15" s="411">
        <f t="shared" si="2"/>
        <v>0</v>
      </c>
      <c r="J15" s="435">
        <v>0</v>
      </c>
      <c r="K15" s="435">
        <v>0</v>
      </c>
      <c r="L15" s="411">
        <f t="shared" si="3"/>
        <v>117</v>
      </c>
      <c r="M15" s="424">
        <v>97</v>
      </c>
      <c r="N15" s="435">
        <v>20</v>
      </c>
    </row>
    <row r="16" spans="1:14" s="266" customFormat="1" ht="12">
      <c r="A16" s="1239">
        <v>4</v>
      </c>
      <c r="B16" s="1241" t="s">
        <v>806</v>
      </c>
      <c r="C16" s="1243" t="s">
        <v>665</v>
      </c>
      <c r="D16" s="1257" t="s">
        <v>27</v>
      </c>
      <c r="E16" s="1241" t="s">
        <v>110</v>
      </c>
      <c r="F16" s="1241">
        <f>G16+H16</f>
        <v>8.6</v>
      </c>
      <c r="G16" s="1249">
        <v>8.6</v>
      </c>
      <c r="H16" s="1249">
        <v>0</v>
      </c>
      <c r="I16" s="263">
        <f t="shared" si="2"/>
        <v>1</v>
      </c>
      <c r="J16" s="325">
        <v>1</v>
      </c>
      <c r="K16" s="325">
        <v>0</v>
      </c>
      <c r="L16" s="263">
        <f t="shared" si="3"/>
        <v>6</v>
      </c>
      <c r="M16" s="264">
        <v>4</v>
      </c>
      <c r="N16" s="325">
        <v>2</v>
      </c>
    </row>
    <row r="17" spans="1:14" s="266" customFormat="1" ht="16.5" customHeight="1" thickBot="1">
      <c r="A17" s="1240"/>
      <c r="B17" s="1242"/>
      <c r="C17" s="1244"/>
      <c r="D17" s="1261"/>
      <c r="E17" s="1242"/>
      <c r="F17" s="1242"/>
      <c r="G17" s="1250"/>
      <c r="H17" s="1250"/>
      <c r="I17" s="411">
        <f t="shared" si="2"/>
        <v>72.61</v>
      </c>
      <c r="J17" s="435">
        <v>72.61</v>
      </c>
      <c r="K17" s="435">
        <v>0</v>
      </c>
      <c r="L17" s="411">
        <f t="shared" si="3"/>
        <v>86</v>
      </c>
      <c r="M17" s="424">
        <v>71</v>
      </c>
      <c r="N17" s="435">
        <v>15</v>
      </c>
    </row>
    <row r="18" spans="1:14" s="266" customFormat="1" ht="12">
      <c r="A18" s="1239">
        <v>5</v>
      </c>
      <c r="B18" s="1257" t="s">
        <v>807</v>
      </c>
      <c r="C18" s="1243" t="s">
        <v>539</v>
      </c>
      <c r="D18" s="1257" t="s">
        <v>27</v>
      </c>
      <c r="E18" s="1241" t="s">
        <v>1213</v>
      </c>
      <c r="F18" s="1247">
        <f>G18+H18</f>
        <v>5.51</v>
      </c>
      <c r="G18" s="1247">
        <v>5.51</v>
      </c>
      <c r="H18" s="1247">
        <v>0</v>
      </c>
      <c r="I18" s="263">
        <f t="shared" si="0"/>
        <v>0</v>
      </c>
      <c r="J18" s="325">
        <v>0</v>
      </c>
      <c r="K18" s="325">
        <v>0</v>
      </c>
      <c r="L18" s="263">
        <f t="shared" si="1"/>
        <v>5</v>
      </c>
      <c r="M18" s="264">
        <v>4</v>
      </c>
      <c r="N18" s="325">
        <v>1</v>
      </c>
    </row>
    <row r="19" spans="1:14" s="266" customFormat="1" ht="15.75" customHeight="1" thickBot="1">
      <c r="A19" s="1240"/>
      <c r="B19" s="1261"/>
      <c r="C19" s="1244"/>
      <c r="D19" s="1261"/>
      <c r="E19" s="1242"/>
      <c r="F19" s="1248"/>
      <c r="G19" s="1248"/>
      <c r="H19" s="1248"/>
      <c r="I19" s="411">
        <f t="shared" si="0"/>
        <v>0</v>
      </c>
      <c r="J19" s="435">
        <v>0</v>
      </c>
      <c r="K19" s="435">
        <v>0</v>
      </c>
      <c r="L19" s="411">
        <f t="shared" si="1"/>
        <v>71</v>
      </c>
      <c r="M19" s="424">
        <v>60</v>
      </c>
      <c r="N19" s="435">
        <v>11</v>
      </c>
    </row>
    <row r="20" spans="1:14" s="266" customFormat="1" ht="12">
      <c r="A20" s="1239">
        <v>6</v>
      </c>
      <c r="B20" s="1241" t="s">
        <v>812</v>
      </c>
      <c r="C20" s="1243" t="s">
        <v>545</v>
      </c>
      <c r="D20" s="1257" t="s">
        <v>49</v>
      </c>
      <c r="E20" s="1241" t="s">
        <v>1163</v>
      </c>
      <c r="F20" s="1247">
        <f>G20+H20</f>
        <v>2.023</v>
      </c>
      <c r="G20" s="1247">
        <v>2.023</v>
      </c>
      <c r="H20" s="1249">
        <v>0</v>
      </c>
      <c r="I20" s="263">
        <f>J20+K20</f>
        <v>0</v>
      </c>
      <c r="J20" s="325">
        <v>0</v>
      </c>
      <c r="K20" s="325">
        <v>0</v>
      </c>
      <c r="L20" s="263">
        <f>M20+N20</f>
        <v>2</v>
      </c>
      <c r="M20" s="264">
        <v>0</v>
      </c>
      <c r="N20" s="325">
        <v>2</v>
      </c>
    </row>
    <row r="21" spans="1:14" s="266" customFormat="1" ht="12.75" thickBot="1">
      <c r="A21" s="1240"/>
      <c r="B21" s="1242"/>
      <c r="C21" s="1244"/>
      <c r="D21" s="1261"/>
      <c r="E21" s="1242"/>
      <c r="F21" s="1242"/>
      <c r="G21" s="1248"/>
      <c r="H21" s="1250"/>
      <c r="I21" s="411">
        <f>J21+K21</f>
        <v>0</v>
      </c>
      <c r="J21" s="435">
        <v>0</v>
      </c>
      <c r="K21" s="435">
        <v>0</v>
      </c>
      <c r="L21" s="411">
        <f>M21+N21</f>
        <v>20</v>
      </c>
      <c r="M21" s="424">
        <v>0</v>
      </c>
      <c r="N21" s="435">
        <v>20</v>
      </c>
    </row>
    <row r="22" spans="1:17" s="266" customFormat="1" ht="12">
      <c r="A22" s="1239">
        <v>7</v>
      </c>
      <c r="B22" s="1257" t="s">
        <v>813</v>
      </c>
      <c r="C22" s="1243" t="s">
        <v>540</v>
      </c>
      <c r="D22" s="1257" t="s">
        <v>27</v>
      </c>
      <c r="E22" s="1245" t="s">
        <v>708</v>
      </c>
      <c r="F22" s="1241">
        <f>G22+H22</f>
        <v>8.2</v>
      </c>
      <c r="G22" s="1247">
        <v>8.2</v>
      </c>
      <c r="H22" s="1249">
        <v>0</v>
      </c>
      <c r="I22" s="263">
        <f t="shared" si="0"/>
        <v>0</v>
      </c>
      <c r="J22" s="263">
        <v>0</v>
      </c>
      <c r="K22" s="265">
        <v>0</v>
      </c>
      <c r="L22" s="263">
        <f t="shared" si="1"/>
        <v>10</v>
      </c>
      <c r="M22" s="264">
        <v>3</v>
      </c>
      <c r="N22" s="325">
        <v>7</v>
      </c>
      <c r="Q22" s="266" t="s">
        <v>274</v>
      </c>
    </row>
    <row r="23" spans="1:14" s="266" customFormat="1" ht="22.5" customHeight="1" thickBot="1">
      <c r="A23" s="1240"/>
      <c r="B23" s="1261"/>
      <c r="C23" s="1244"/>
      <c r="D23" s="1261"/>
      <c r="E23" s="1246"/>
      <c r="F23" s="1242"/>
      <c r="G23" s="1248"/>
      <c r="H23" s="1250"/>
      <c r="I23" s="411">
        <f t="shared" si="0"/>
        <v>0</v>
      </c>
      <c r="J23" s="411">
        <v>0</v>
      </c>
      <c r="K23" s="440">
        <v>0</v>
      </c>
      <c r="L23" s="411">
        <f t="shared" si="1"/>
        <v>125</v>
      </c>
      <c r="M23" s="424">
        <v>50</v>
      </c>
      <c r="N23" s="435">
        <v>75</v>
      </c>
    </row>
    <row r="24" spans="1:14" s="266" customFormat="1" ht="12">
      <c r="A24" s="1239">
        <v>8</v>
      </c>
      <c r="B24" s="1241" t="s">
        <v>815</v>
      </c>
      <c r="C24" s="1243" t="s">
        <v>618</v>
      </c>
      <c r="D24" s="1257" t="s">
        <v>27</v>
      </c>
      <c r="E24" s="1245" t="s">
        <v>117</v>
      </c>
      <c r="F24" s="1249">
        <f>G24+H24</f>
        <v>7.4</v>
      </c>
      <c r="G24" s="1249">
        <v>7.4</v>
      </c>
      <c r="H24" s="1249">
        <v>0</v>
      </c>
      <c r="I24" s="263">
        <f t="shared" si="0"/>
        <v>0</v>
      </c>
      <c r="J24" s="325">
        <v>0</v>
      </c>
      <c r="K24" s="325">
        <v>0</v>
      </c>
      <c r="L24" s="263">
        <f t="shared" si="1"/>
        <v>4</v>
      </c>
      <c r="M24" s="265">
        <v>4</v>
      </c>
      <c r="N24" s="325">
        <v>0</v>
      </c>
    </row>
    <row r="25" spans="1:14" s="266" customFormat="1" ht="17.25" customHeight="1" thickBot="1">
      <c r="A25" s="1240"/>
      <c r="B25" s="1242"/>
      <c r="C25" s="1244"/>
      <c r="D25" s="1261"/>
      <c r="E25" s="1246"/>
      <c r="F25" s="1242"/>
      <c r="G25" s="1250"/>
      <c r="H25" s="1250"/>
      <c r="I25" s="411">
        <f t="shared" si="0"/>
        <v>0</v>
      </c>
      <c r="J25" s="435">
        <v>0</v>
      </c>
      <c r="K25" s="435">
        <v>0</v>
      </c>
      <c r="L25" s="411">
        <f t="shared" si="1"/>
        <v>65</v>
      </c>
      <c r="M25" s="440">
        <v>65</v>
      </c>
      <c r="N25" s="435">
        <v>0</v>
      </c>
    </row>
    <row r="26" spans="1:14" s="266" customFormat="1" ht="12">
      <c r="A26" s="1239">
        <v>9</v>
      </c>
      <c r="B26" s="1241" t="s">
        <v>817</v>
      </c>
      <c r="C26" s="1243" t="s">
        <v>546</v>
      </c>
      <c r="D26" s="1257" t="s">
        <v>49</v>
      </c>
      <c r="E26" s="1241" t="s">
        <v>1241</v>
      </c>
      <c r="F26" s="1241">
        <f>G26+H26</f>
        <v>2.29</v>
      </c>
      <c r="G26" s="1247">
        <v>0</v>
      </c>
      <c r="H26" s="1247">
        <v>2.29</v>
      </c>
      <c r="I26" s="410">
        <f>J26+K26</f>
        <v>0</v>
      </c>
      <c r="J26" s="410">
        <v>0</v>
      </c>
      <c r="K26" s="410">
        <v>0</v>
      </c>
      <c r="L26" s="410">
        <f>M26+N26</f>
        <v>0</v>
      </c>
      <c r="M26" s="410">
        <v>0</v>
      </c>
      <c r="N26" s="434">
        <v>0</v>
      </c>
    </row>
    <row r="27" spans="1:14" s="266" customFormat="1" ht="12.75" thickBot="1">
      <c r="A27" s="1240"/>
      <c r="B27" s="1242"/>
      <c r="C27" s="1244"/>
      <c r="D27" s="1261"/>
      <c r="E27" s="1242"/>
      <c r="F27" s="1242"/>
      <c r="G27" s="1248"/>
      <c r="H27" s="1248"/>
      <c r="I27" s="411">
        <f>J27+K27</f>
        <v>0</v>
      </c>
      <c r="J27" s="411">
        <v>0</v>
      </c>
      <c r="K27" s="411">
        <v>0</v>
      </c>
      <c r="L27" s="411">
        <f>M27+N27</f>
        <v>0</v>
      </c>
      <c r="M27" s="411">
        <v>0</v>
      </c>
      <c r="N27" s="435">
        <v>0</v>
      </c>
    </row>
    <row r="28" spans="1:14" s="266" customFormat="1" ht="12">
      <c r="A28" s="1239">
        <v>10</v>
      </c>
      <c r="B28" s="1241" t="s">
        <v>823</v>
      </c>
      <c r="C28" s="1243" t="s">
        <v>541</v>
      </c>
      <c r="D28" s="1257" t="s">
        <v>27</v>
      </c>
      <c r="E28" s="1241" t="s">
        <v>601</v>
      </c>
      <c r="F28" s="1241">
        <f>G28+H28</f>
        <v>4.86</v>
      </c>
      <c r="G28" s="1249">
        <v>4.86</v>
      </c>
      <c r="H28" s="1249">
        <v>0</v>
      </c>
      <c r="I28" s="263">
        <f t="shared" si="0"/>
        <v>0</v>
      </c>
      <c r="J28" s="325">
        <v>0</v>
      </c>
      <c r="K28" s="325">
        <v>0</v>
      </c>
      <c r="L28" s="263">
        <f t="shared" si="1"/>
        <v>4</v>
      </c>
      <c r="M28" s="264">
        <v>3</v>
      </c>
      <c r="N28" s="325">
        <v>1</v>
      </c>
    </row>
    <row r="29" spans="1:14" s="266" customFormat="1" ht="26.25" customHeight="1" thickBot="1">
      <c r="A29" s="1240"/>
      <c r="B29" s="1242"/>
      <c r="C29" s="1244"/>
      <c r="D29" s="1261"/>
      <c r="E29" s="1242"/>
      <c r="F29" s="1242"/>
      <c r="G29" s="1250"/>
      <c r="H29" s="1250"/>
      <c r="I29" s="411">
        <f t="shared" si="0"/>
        <v>0</v>
      </c>
      <c r="J29" s="435">
        <v>0</v>
      </c>
      <c r="K29" s="435">
        <v>0</v>
      </c>
      <c r="L29" s="411">
        <f t="shared" si="1"/>
        <v>89</v>
      </c>
      <c r="M29" s="424">
        <v>73</v>
      </c>
      <c r="N29" s="435">
        <v>16</v>
      </c>
    </row>
    <row r="30" spans="1:14" s="266" customFormat="1" ht="12.75" customHeight="1" hidden="1" thickBot="1">
      <c r="A30" s="1307"/>
      <c r="B30" s="1308" t="s">
        <v>802</v>
      </c>
      <c r="C30" s="1452"/>
      <c r="D30" s="1412"/>
      <c r="E30" s="1308"/>
      <c r="F30" s="1308">
        <f>G30+H30</f>
        <v>0</v>
      </c>
      <c r="G30" s="1413"/>
      <c r="H30" s="1413"/>
      <c r="I30" s="269">
        <f t="shared" si="0"/>
        <v>0</v>
      </c>
      <c r="J30" s="268">
        <v>0</v>
      </c>
      <c r="K30" s="268">
        <v>0</v>
      </c>
      <c r="L30" s="269">
        <f t="shared" si="1"/>
        <v>0</v>
      </c>
      <c r="M30" s="267"/>
      <c r="N30" s="268"/>
    </row>
    <row r="31" spans="1:14" s="266" customFormat="1" ht="12" customHeight="1" hidden="1">
      <c r="A31" s="1307"/>
      <c r="B31" s="1308"/>
      <c r="C31" s="1452"/>
      <c r="D31" s="1412"/>
      <c r="E31" s="1308"/>
      <c r="F31" s="1308"/>
      <c r="G31" s="1413"/>
      <c r="H31" s="1413"/>
      <c r="I31" s="413">
        <f t="shared" si="0"/>
        <v>0</v>
      </c>
      <c r="J31" s="430">
        <v>0</v>
      </c>
      <c r="K31" s="430">
        <v>0</v>
      </c>
      <c r="L31" s="413">
        <f t="shared" si="1"/>
        <v>0</v>
      </c>
      <c r="M31" s="307"/>
      <c r="N31" s="430"/>
    </row>
    <row r="32" spans="1:14" s="272" customFormat="1" ht="12">
      <c r="A32" s="1239">
        <v>11</v>
      </c>
      <c r="B32" s="1241" t="s">
        <v>852</v>
      </c>
      <c r="C32" s="1243" t="s">
        <v>154</v>
      </c>
      <c r="D32" s="1257" t="s">
        <v>27</v>
      </c>
      <c r="E32" s="1245" t="s">
        <v>639</v>
      </c>
      <c r="F32" s="1241">
        <f>G32+H32</f>
        <v>5.794</v>
      </c>
      <c r="G32" s="1274">
        <v>5.794</v>
      </c>
      <c r="H32" s="1249">
        <v>0</v>
      </c>
      <c r="I32" s="263">
        <f aca="true" t="shared" si="4" ref="I32:I39">J32+K32</f>
        <v>0</v>
      </c>
      <c r="J32" s="264">
        <v>0</v>
      </c>
      <c r="K32" s="265">
        <v>0</v>
      </c>
      <c r="L32" s="263">
        <f aca="true" t="shared" si="5" ref="L32:L39">M32+N32</f>
        <v>7</v>
      </c>
      <c r="M32" s="264">
        <v>5</v>
      </c>
      <c r="N32" s="325">
        <v>2</v>
      </c>
    </row>
    <row r="33" spans="1:14" s="272" customFormat="1" ht="12.75" thickBot="1">
      <c r="A33" s="1240"/>
      <c r="B33" s="1242"/>
      <c r="C33" s="1244"/>
      <c r="D33" s="1261"/>
      <c r="E33" s="1246"/>
      <c r="F33" s="1242"/>
      <c r="G33" s="1275"/>
      <c r="H33" s="1250"/>
      <c r="I33" s="411">
        <f t="shared" si="4"/>
        <v>0</v>
      </c>
      <c r="J33" s="424">
        <v>0</v>
      </c>
      <c r="K33" s="440">
        <v>0</v>
      </c>
      <c r="L33" s="411">
        <f t="shared" si="5"/>
        <v>108</v>
      </c>
      <c r="M33" s="424">
        <v>61</v>
      </c>
      <c r="N33" s="435">
        <v>47</v>
      </c>
    </row>
    <row r="34" spans="1:14" s="392" customFormat="1" ht="12.75" customHeight="1">
      <c r="A34" s="1239">
        <v>12</v>
      </c>
      <c r="B34" s="1241" t="s">
        <v>853</v>
      </c>
      <c r="C34" s="1243" t="s">
        <v>155</v>
      </c>
      <c r="D34" s="1257" t="s">
        <v>27</v>
      </c>
      <c r="E34" s="1245" t="s">
        <v>1311</v>
      </c>
      <c r="F34" s="1241">
        <f>G34+H34</f>
        <v>20.632</v>
      </c>
      <c r="G34" s="1247">
        <v>4.937</v>
      </c>
      <c r="H34" s="1247">
        <f>3.269+12.426</f>
        <v>15.695</v>
      </c>
      <c r="I34" s="263">
        <f t="shared" si="4"/>
        <v>1</v>
      </c>
      <c r="J34" s="265">
        <v>1</v>
      </c>
      <c r="K34" s="325">
        <v>0</v>
      </c>
      <c r="L34" s="263">
        <f t="shared" si="5"/>
        <v>8</v>
      </c>
      <c r="M34" s="265">
        <v>2</v>
      </c>
      <c r="N34" s="325">
        <v>6</v>
      </c>
    </row>
    <row r="35" spans="1:14" s="392" customFormat="1" ht="24.75" customHeight="1" thickBot="1">
      <c r="A35" s="1240"/>
      <c r="B35" s="1242"/>
      <c r="C35" s="1244"/>
      <c r="D35" s="1261"/>
      <c r="E35" s="1246"/>
      <c r="F35" s="1242"/>
      <c r="G35" s="1248"/>
      <c r="H35" s="1248"/>
      <c r="I35" s="411">
        <f t="shared" si="4"/>
        <v>39.66</v>
      </c>
      <c r="J35" s="440">
        <v>39.66</v>
      </c>
      <c r="K35" s="435">
        <v>0</v>
      </c>
      <c r="L35" s="411">
        <f t="shared" si="5"/>
        <v>106</v>
      </c>
      <c r="M35" s="440">
        <v>34</v>
      </c>
      <c r="N35" s="435">
        <v>72</v>
      </c>
    </row>
    <row r="36" spans="1:14" s="392" customFormat="1" ht="12.75" customHeight="1">
      <c r="A36" s="1239">
        <v>13</v>
      </c>
      <c r="B36" s="1241" t="s">
        <v>856</v>
      </c>
      <c r="C36" s="1243" t="s">
        <v>487</v>
      </c>
      <c r="D36" s="1257" t="s">
        <v>27</v>
      </c>
      <c r="E36" s="1241" t="s">
        <v>606</v>
      </c>
      <c r="F36" s="1241">
        <f>G36+H36</f>
        <v>1.68</v>
      </c>
      <c r="G36" s="1249">
        <v>0</v>
      </c>
      <c r="H36" s="1249">
        <v>1.68</v>
      </c>
      <c r="I36" s="263">
        <f t="shared" si="4"/>
        <v>0</v>
      </c>
      <c r="J36" s="264">
        <v>0</v>
      </c>
      <c r="K36" s="325">
        <v>0</v>
      </c>
      <c r="L36" s="263">
        <f t="shared" si="5"/>
        <v>0</v>
      </c>
      <c r="M36" s="264">
        <v>0</v>
      </c>
      <c r="N36" s="325">
        <v>0</v>
      </c>
    </row>
    <row r="37" spans="1:14" s="392" customFormat="1" ht="13.5" thickBot="1">
      <c r="A37" s="1240"/>
      <c r="B37" s="1242"/>
      <c r="C37" s="1244"/>
      <c r="D37" s="1261"/>
      <c r="E37" s="1242"/>
      <c r="F37" s="1242"/>
      <c r="G37" s="1250"/>
      <c r="H37" s="1250"/>
      <c r="I37" s="411">
        <f t="shared" si="4"/>
        <v>0</v>
      </c>
      <c r="J37" s="424">
        <v>0</v>
      </c>
      <c r="K37" s="435">
        <v>0</v>
      </c>
      <c r="L37" s="411">
        <f t="shared" si="5"/>
        <v>0</v>
      </c>
      <c r="M37" s="424">
        <v>0</v>
      </c>
      <c r="N37" s="435">
        <v>0</v>
      </c>
    </row>
    <row r="38" spans="1:14" s="392" customFormat="1" ht="12.75">
      <c r="A38" s="1239">
        <v>14</v>
      </c>
      <c r="B38" s="1241" t="s">
        <v>857</v>
      </c>
      <c r="C38" s="1243" t="s">
        <v>493</v>
      </c>
      <c r="D38" s="1257" t="s">
        <v>27</v>
      </c>
      <c r="E38" s="1257" t="s">
        <v>608</v>
      </c>
      <c r="F38" s="1247">
        <f>G38+H38</f>
        <v>7.277</v>
      </c>
      <c r="G38" s="1249">
        <v>3.5</v>
      </c>
      <c r="H38" s="1247">
        <v>3.777</v>
      </c>
      <c r="I38" s="263">
        <f t="shared" si="4"/>
        <v>0</v>
      </c>
      <c r="J38" s="263">
        <v>0</v>
      </c>
      <c r="K38" s="263">
        <v>0</v>
      </c>
      <c r="L38" s="263">
        <f t="shared" si="5"/>
        <v>3</v>
      </c>
      <c r="M38" s="263">
        <v>1</v>
      </c>
      <c r="N38" s="325">
        <v>2</v>
      </c>
    </row>
    <row r="39" spans="1:14" s="392" customFormat="1" ht="13.5" thickBot="1">
      <c r="A39" s="1240"/>
      <c r="B39" s="1242"/>
      <c r="C39" s="1244"/>
      <c r="D39" s="1261"/>
      <c r="E39" s="1261"/>
      <c r="F39" s="1248"/>
      <c r="G39" s="1250"/>
      <c r="H39" s="1248"/>
      <c r="I39" s="778">
        <f t="shared" si="4"/>
        <v>0</v>
      </c>
      <c r="J39" s="778">
        <v>0</v>
      </c>
      <c r="K39" s="778">
        <v>0</v>
      </c>
      <c r="L39" s="778">
        <f t="shared" si="5"/>
        <v>45</v>
      </c>
      <c r="M39" s="778">
        <v>25</v>
      </c>
      <c r="N39" s="787">
        <v>20</v>
      </c>
    </row>
    <row r="40" spans="1:14" s="392" customFormat="1" ht="12.75">
      <c r="A40" s="1269"/>
      <c r="B40" s="336"/>
      <c r="C40" s="1450" t="s">
        <v>229</v>
      </c>
      <c r="D40" s="1306" t="s">
        <v>274</v>
      </c>
      <c r="E40" s="1306"/>
      <c r="F40" s="1288">
        <f>G40+H40</f>
        <v>171.36300000000006</v>
      </c>
      <c r="G40" s="1288">
        <f aca="true" t="shared" si="6" ref="G40:N40">G8+G18+G22+G24+G28+G12+G14+G16+G26+G30+G20+G32+G34+G36+G38</f>
        <v>147.92100000000005</v>
      </c>
      <c r="H40" s="1288">
        <f t="shared" si="6"/>
        <v>23.442</v>
      </c>
      <c r="I40" s="441">
        <f t="shared" si="6"/>
        <v>9</v>
      </c>
      <c r="J40" s="441">
        <f t="shared" si="6"/>
        <v>8</v>
      </c>
      <c r="K40" s="441">
        <f t="shared" si="6"/>
        <v>1</v>
      </c>
      <c r="L40" s="441">
        <f t="shared" si="6"/>
        <v>158</v>
      </c>
      <c r="M40" s="441">
        <f t="shared" si="6"/>
        <v>126</v>
      </c>
      <c r="N40" s="337">
        <f t="shared" si="6"/>
        <v>32</v>
      </c>
    </row>
    <row r="41" spans="1:14" s="392" customFormat="1" ht="13.5" thickBot="1">
      <c r="A41" s="1271"/>
      <c r="B41" s="273"/>
      <c r="C41" s="1451"/>
      <c r="D41" s="1253"/>
      <c r="E41" s="1253"/>
      <c r="F41" s="1255"/>
      <c r="G41" s="1255"/>
      <c r="H41" s="1255"/>
      <c r="I41" s="791">
        <f aca="true" t="shared" si="7" ref="I41:N41">I9+I19+I23+I25+I29+I13+I15+I17+I27+I31+I21+I33+I35+I37+I39</f>
        <v>446.93999999999994</v>
      </c>
      <c r="J41" s="790">
        <f t="shared" si="7"/>
        <v>376.85</v>
      </c>
      <c r="K41" s="790">
        <f t="shared" si="7"/>
        <v>70.09</v>
      </c>
      <c r="L41" s="790">
        <f t="shared" si="7"/>
        <v>2676</v>
      </c>
      <c r="M41" s="790">
        <f t="shared" si="7"/>
        <v>2296</v>
      </c>
      <c r="N41" s="452">
        <f t="shared" si="7"/>
        <v>380</v>
      </c>
    </row>
    <row r="42" spans="1:8" ht="12.75">
      <c r="A42" s="151"/>
      <c r="B42" s="153"/>
      <c r="C42" s="1448" t="s">
        <v>454</v>
      </c>
      <c r="D42" s="161" t="s">
        <v>450</v>
      </c>
      <c r="E42" s="162"/>
      <c r="F42" s="163">
        <f>SUMIF($D$8:$D$41,"=I",F8:F41)</f>
        <v>0</v>
      </c>
      <c r="G42" s="163">
        <f>SUMIF($D$8:$D$41,"=I",G8:G41)</f>
        <v>0</v>
      </c>
      <c r="H42" s="163">
        <f>SUMIF($D$8:$D$41,"=I",H8:H31)</f>
        <v>0</v>
      </c>
    </row>
    <row r="43" spans="1:8" ht="12.75">
      <c r="A43" s="151"/>
      <c r="B43" s="153"/>
      <c r="C43" s="1449"/>
      <c r="D43" s="69" t="s">
        <v>100</v>
      </c>
      <c r="E43" s="63"/>
      <c r="F43" s="64">
        <f>SUMIF($D$8:$D$41,"=II",F8:F41)</f>
        <v>68</v>
      </c>
      <c r="G43" s="64">
        <f>SUMIF($D$8:$D$41,"=II",G8:G41)</f>
        <v>68</v>
      </c>
      <c r="H43" s="64">
        <f>SUMIF($D$8:$D$41,"=II",H8:H41)</f>
        <v>0</v>
      </c>
    </row>
    <row r="44" spans="1:8" ht="12.75">
      <c r="A44" s="151"/>
      <c r="B44" s="153"/>
      <c r="C44" s="1449"/>
      <c r="D44" s="68" t="s">
        <v>547</v>
      </c>
      <c r="E44" s="63"/>
      <c r="F44" s="64">
        <f>SUMIF($D$8:$D$41,"=III",F8:F39)</f>
        <v>3</v>
      </c>
      <c r="G44" s="64">
        <f>SUMIF($D$8:$D$31,"=III",G8:G39)</f>
        <v>3</v>
      </c>
      <c r="H44" s="64">
        <f>SUMIF($D$8:$D$41,"=III",H8:H41)</f>
        <v>0</v>
      </c>
    </row>
    <row r="45" spans="1:8" ht="12.75">
      <c r="A45" s="151"/>
      <c r="B45" s="153"/>
      <c r="C45" s="1449"/>
      <c r="D45" s="68" t="s">
        <v>548</v>
      </c>
      <c r="E45" s="63"/>
      <c r="F45" s="101">
        <f>SUMIF($D$8:$D$41,"=IV",F8:F41)</f>
        <v>96.05000000000001</v>
      </c>
      <c r="G45" s="101">
        <f>SUMIF($D$8:$D$41,"=IV",G8:G41)</f>
        <v>74.898</v>
      </c>
      <c r="H45" s="64">
        <f>SUMIF($D$8:$D$41,"=IV",H8:H41)</f>
        <v>21.152</v>
      </c>
    </row>
    <row r="46" spans="1:8" ht="12.75">
      <c r="A46" s="151"/>
      <c r="B46" s="153"/>
      <c r="C46" s="1449"/>
      <c r="D46" s="70" t="s">
        <v>49</v>
      </c>
      <c r="E46" s="67"/>
      <c r="F46" s="101">
        <f>SUMIF($D$8:$D$41,"=V",F8:F41)</f>
        <v>4.313000000000001</v>
      </c>
      <c r="G46" s="101">
        <f>SUMIF($D$8:$D$41,"=V",G8:G41)</f>
        <v>2.023</v>
      </c>
      <c r="H46" s="101">
        <f>SUMIF($D$8:$D$41,"=V",H8:H41)</f>
        <v>2.29</v>
      </c>
    </row>
    <row r="47" spans="3:8" ht="12.75">
      <c r="C47" s="7"/>
      <c r="D47" s="7"/>
      <c r="F47" s="52"/>
      <c r="G47" s="52"/>
      <c r="H47" s="52"/>
    </row>
    <row r="48" spans="3:4" ht="12.75">
      <c r="C48" s="7"/>
      <c r="D48" s="7"/>
    </row>
    <row r="49" spans="3:4" ht="12.75">
      <c r="C49" s="7"/>
      <c r="D49" s="7"/>
    </row>
    <row r="50" spans="3:9" ht="12.75">
      <c r="C50" s="7"/>
      <c r="D50" s="7"/>
      <c r="I50" s="64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</sheetData>
  <sheetProtection/>
  <mergeCells count="146">
    <mergeCell ref="G14:G15"/>
    <mergeCell ref="H14:H15"/>
    <mergeCell ref="E28:E29"/>
    <mergeCell ref="H24:H25"/>
    <mergeCell ref="G8:G9"/>
    <mergeCell ref="F34:F35"/>
    <mergeCell ref="G38:G39"/>
    <mergeCell ref="F32:F33"/>
    <mergeCell ref="G32:G33"/>
    <mergeCell ref="H32:H33"/>
    <mergeCell ref="H8:H9"/>
    <mergeCell ref="H16:H17"/>
    <mergeCell ref="F28:F29"/>
    <mergeCell ref="D5:D7"/>
    <mergeCell ref="E5:E7"/>
    <mergeCell ref="H40:H41"/>
    <mergeCell ref="G5:H5"/>
    <mergeCell ref="H22:H23"/>
    <mergeCell ref="G6:G7"/>
    <mergeCell ref="G22:G23"/>
    <mergeCell ref="G24:G25"/>
    <mergeCell ref="D8:D9"/>
    <mergeCell ref="G20:G21"/>
    <mergeCell ref="J6:K6"/>
    <mergeCell ref="F5:F7"/>
    <mergeCell ref="H34:H35"/>
    <mergeCell ref="A16:A17"/>
    <mergeCell ref="A26:A27"/>
    <mergeCell ref="B30:B31"/>
    <mergeCell ref="A32:A33"/>
    <mergeCell ref="B32:B33"/>
    <mergeCell ref="H26:H27"/>
    <mergeCell ref="G26:G27"/>
    <mergeCell ref="E24:E25"/>
    <mergeCell ref="H18:H19"/>
    <mergeCell ref="F8:F9"/>
    <mergeCell ref="E22:E23"/>
    <mergeCell ref="F22:F23"/>
    <mergeCell ref="F24:F25"/>
    <mergeCell ref="G18:G19"/>
    <mergeCell ref="A38:A39"/>
    <mergeCell ref="B38:B39"/>
    <mergeCell ref="C38:C39"/>
    <mergeCell ref="A24:A25"/>
    <mergeCell ref="B24:B25"/>
    <mergeCell ref="A28:A29"/>
    <mergeCell ref="B28:B29"/>
    <mergeCell ref="C30:C31"/>
    <mergeCell ref="A30:A31"/>
    <mergeCell ref="A12:A13"/>
    <mergeCell ref="A14:A15"/>
    <mergeCell ref="A36:A37"/>
    <mergeCell ref="B18:B19"/>
    <mergeCell ref="B22:B23"/>
    <mergeCell ref="C22:C23"/>
    <mergeCell ref="C18:C19"/>
    <mergeCell ref="B12:B13"/>
    <mergeCell ref="C36:C37"/>
    <mergeCell ref="B26:B27"/>
    <mergeCell ref="A40:A41"/>
    <mergeCell ref="C40:C41"/>
    <mergeCell ref="D40:D41"/>
    <mergeCell ref="A34:A35"/>
    <mergeCell ref="B34:B35"/>
    <mergeCell ref="C34:C35"/>
    <mergeCell ref="D34:D35"/>
    <mergeCell ref="D38:D39"/>
    <mergeCell ref="D36:D37"/>
    <mergeCell ref="B36:B37"/>
    <mergeCell ref="E40:E41"/>
    <mergeCell ref="F40:F41"/>
    <mergeCell ref="G12:G13"/>
    <mergeCell ref="E12:E13"/>
    <mergeCell ref="F12:F13"/>
    <mergeCell ref="G30:G31"/>
    <mergeCell ref="F14:F15"/>
    <mergeCell ref="E26:E27"/>
    <mergeCell ref="F26:F27"/>
    <mergeCell ref="F20:F21"/>
    <mergeCell ref="C42:C46"/>
    <mergeCell ref="I5:K5"/>
    <mergeCell ref="G40:G41"/>
    <mergeCell ref="E8:E9"/>
    <mergeCell ref="E18:E19"/>
    <mergeCell ref="F18:F19"/>
    <mergeCell ref="C26:C27"/>
    <mergeCell ref="C16:C17"/>
    <mergeCell ref="D14:D15"/>
    <mergeCell ref="D12:D13"/>
    <mergeCell ref="D18:D19"/>
    <mergeCell ref="A22:A23"/>
    <mergeCell ref="A18:A19"/>
    <mergeCell ref="B20:B21"/>
    <mergeCell ref="D20:D21"/>
    <mergeCell ref="D26:D27"/>
    <mergeCell ref="D24:D25"/>
    <mergeCell ref="A20:A21"/>
    <mergeCell ref="D22:D23"/>
    <mergeCell ref="A1:N1"/>
    <mergeCell ref="A2:N2"/>
    <mergeCell ref="A3:N3"/>
    <mergeCell ref="A5:A7"/>
    <mergeCell ref="B5:B7"/>
    <mergeCell ref="C5:C7"/>
    <mergeCell ref="H6:H7"/>
    <mergeCell ref="I6:I7"/>
    <mergeCell ref="L6:L7"/>
    <mergeCell ref="M6:N6"/>
    <mergeCell ref="L5:N5"/>
    <mergeCell ref="F16:F17"/>
    <mergeCell ref="E16:E17"/>
    <mergeCell ref="G28:G29"/>
    <mergeCell ref="H28:H29"/>
    <mergeCell ref="D28:D29"/>
    <mergeCell ref="E14:E15"/>
    <mergeCell ref="G16:G17"/>
    <mergeCell ref="H20:H21"/>
    <mergeCell ref="E20:E21"/>
    <mergeCell ref="G34:G35"/>
    <mergeCell ref="H12:H13"/>
    <mergeCell ref="H30:H31"/>
    <mergeCell ref="E38:E39"/>
    <mergeCell ref="D30:D31"/>
    <mergeCell ref="F30:F31"/>
    <mergeCell ref="E32:E33"/>
    <mergeCell ref="E30:E31"/>
    <mergeCell ref="E34:E35"/>
    <mergeCell ref="C14:C15"/>
    <mergeCell ref="C12:C13"/>
    <mergeCell ref="C20:C21"/>
    <mergeCell ref="F36:F37"/>
    <mergeCell ref="G36:G37"/>
    <mergeCell ref="H36:H37"/>
    <mergeCell ref="E36:E37"/>
    <mergeCell ref="H38:H39"/>
    <mergeCell ref="F38:F39"/>
    <mergeCell ref="D16:D17"/>
    <mergeCell ref="C32:C33"/>
    <mergeCell ref="D32:D33"/>
    <mergeCell ref="A8:A11"/>
    <mergeCell ref="B8:B11"/>
    <mergeCell ref="C8:C11"/>
    <mergeCell ref="C24:C25"/>
    <mergeCell ref="C28:C29"/>
    <mergeCell ref="B14:B15"/>
    <mergeCell ref="B16:B17"/>
  </mergeCells>
  <printOptions/>
  <pageMargins left="0.7874015748031497" right="0.7874015748031497" top="0.4724409448818898" bottom="0.4724409448818898" header="0.3937007874015748" footer="0.31496062992125984"/>
  <pageSetup firstPageNumber="11" useFirstPageNumber="1" fitToHeight="1" fitToWidth="1" horizontalDpi="300" verticalDpi="300" orientation="landscape" paperSize="9" scale="78" r:id="rId1"/>
  <headerFooter alignWithMargins="0">
    <oddFooter>&amp;CСтраница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N86"/>
  <sheetViews>
    <sheetView view="pageBreakPreview" zoomScaleSheetLayoutView="100" zoomScalePageLayoutView="0" workbookViewId="0" topLeftCell="A31">
      <selection activeCell="O1" sqref="O1:Z16384"/>
    </sheetView>
  </sheetViews>
  <sheetFormatPr defaultColWidth="9.00390625" defaultRowHeight="12.75"/>
  <cols>
    <col min="1" max="1" width="4.25390625" style="0" customWidth="1"/>
    <col min="2" max="2" width="13.00390625" style="53" customWidth="1"/>
    <col min="3" max="3" width="36.375" style="0" customWidth="1"/>
    <col min="4" max="4" width="10.625" style="0" customWidth="1"/>
    <col min="5" max="5" width="9.625" style="0" customWidth="1"/>
    <col min="6" max="6" width="11.875" style="0" customWidth="1"/>
    <col min="7" max="7" width="9.375" style="0" bestFit="1" customWidth="1"/>
    <col min="9" max="9" width="8.75390625" style="0" customWidth="1"/>
    <col min="10" max="10" width="7.875" style="0" customWidth="1"/>
    <col min="11" max="11" width="7.625" style="0" customWidth="1"/>
    <col min="12" max="12" width="9.375" style="0" customWidth="1"/>
    <col min="13" max="14" width="8.875" style="0" customWidth="1"/>
  </cols>
  <sheetData>
    <row r="1" spans="1:14" s="19" customFormat="1" ht="12.75">
      <c r="A1" s="1201" t="s">
        <v>3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</row>
    <row r="2" spans="1:14" s="19" customFormat="1" ht="12.75">
      <c r="A2" s="1202" t="s">
        <v>1227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19" customFormat="1" ht="15.75" customHeight="1">
      <c r="A3" s="1202" t="s">
        <v>1414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</row>
    <row r="4" spans="1:14" ht="19.5" customHeight="1" thickBot="1">
      <c r="A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2.75" customHeight="1" thickBot="1">
      <c r="A5" s="1503" t="s">
        <v>9</v>
      </c>
      <c r="B5" s="1203" t="s">
        <v>735</v>
      </c>
      <c r="C5" s="1504" t="s">
        <v>455</v>
      </c>
      <c r="D5" s="1514" t="s">
        <v>231</v>
      </c>
      <c r="E5" s="1534" t="s">
        <v>622</v>
      </c>
      <c r="F5" s="1514" t="s">
        <v>623</v>
      </c>
      <c r="G5" s="1504" t="s">
        <v>4</v>
      </c>
      <c r="H5" s="1504"/>
      <c r="I5" s="1503" t="s">
        <v>458</v>
      </c>
      <c r="J5" s="1504"/>
      <c r="K5" s="1505"/>
      <c r="L5" s="1541" t="s">
        <v>19</v>
      </c>
      <c r="M5" s="1542"/>
      <c r="N5" s="1513"/>
    </row>
    <row r="6" spans="1:14" s="1" customFormat="1" ht="13.5" thickBot="1">
      <c r="A6" s="1532"/>
      <c r="B6" s="1204"/>
      <c r="C6" s="1533"/>
      <c r="D6" s="1515"/>
      <c r="E6" s="1535"/>
      <c r="F6" s="1515"/>
      <c r="G6" s="1514" t="s">
        <v>456</v>
      </c>
      <c r="H6" s="1470" t="s">
        <v>457</v>
      </c>
      <c r="I6" s="1516" t="s">
        <v>5</v>
      </c>
      <c r="J6" s="1518" t="s">
        <v>4</v>
      </c>
      <c r="K6" s="1519"/>
      <c r="L6" s="1516" t="s">
        <v>5</v>
      </c>
      <c r="M6" s="1512" t="s">
        <v>4</v>
      </c>
      <c r="N6" s="1513"/>
    </row>
    <row r="7" spans="1:14" s="1" customFormat="1" ht="22.5" customHeight="1" thickBot="1">
      <c r="A7" s="1532"/>
      <c r="B7" s="1204"/>
      <c r="C7" s="1533"/>
      <c r="D7" s="1515"/>
      <c r="E7" s="1535"/>
      <c r="F7" s="1515"/>
      <c r="G7" s="1515"/>
      <c r="H7" s="1471"/>
      <c r="I7" s="1517"/>
      <c r="J7" s="305" t="s">
        <v>6</v>
      </c>
      <c r="K7" s="306" t="s">
        <v>7</v>
      </c>
      <c r="L7" s="1517"/>
      <c r="M7" s="306" t="s">
        <v>6</v>
      </c>
      <c r="N7" s="306" t="s">
        <v>7</v>
      </c>
    </row>
    <row r="8" spans="1:14" s="266" customFormat="1" ht="12.75" customHeight="1">
      <c r="A8" s="1492">
        <v>1</v>
      </c>
      <c r="B8" s="1241" t="s">
        <v>778</v>
      </c>
      <c r="C8" s="1499" t="s">
        <v>167</v>
      </c>
      <c r="D8" s="1490" t="s">
        <v>27</v>
      </c>
      <c r="E8" s="1490" t="s">
        <v>1397</v>
      </c>
      <c r="F8" s="1472">
        <f>G8+H8</f>
        <v>5.864</v>
      </c>
      <c r="G8" s="1467">
        <v>5.864</v>
      </c>
      <c r="H8" s="1476">
        <v>0</v>
      </c>
      <c r="I8" s="356">
        <f>J8+K8</f>
        <v>0</v>
      </c>
      <c r="J8" s="357">
        <v>0</v>
      </c>
      <c r="K8" s="358">
        <v>0</v>
      </c>
      <c r="L8" s="356">
        <f>M8+N8</f>
        <v>6</v>
      </c>
      <c r="M8" s="357">
        <v>6</v>
      </c>
      <c r="N8" s="358">
        <v>0</v>
      </c>
    </row>
    <row r="9" spans="1:14" s="266" customFormat="1" ht="12.75" customHeight="1" thickBot="1">
      <c r="A9" s="1493"/>
      <c r="B9" s="1242"/>
      <c r="C9" s="1500"/>
      <c r="D9" s="1491"/>
      <c r="E9" s="1491"/>
      <c r="F9" s="1473"/>
      <c r="G9" s="1468"/>
      <c r="H9" s="1477"/>
      <c r="I9" s="955">
        <f>J9+K9</f>
        <v>0</v>
      </c>
      <c r="J9" s="360">
        <v>0</v>
      </c>
      <c r="K9" s="980">
        <v>0</v>
      </c>
      <c r="L9" s="955">
        <f>M9+N9</f>
        <v>99</v>
      </c>
      <c r="M9" s="360">
        <v>99</v>
      </c>
      <c r="N9" s="980">
        <v>0</v>
      </c>
    </row>
    <row r="10" spans="1:14" s="266" customFormat="1" ht="12.75" customHeight="1">
      <c r="A10" s="1526">
        <v>2</v>
      </c>
      <c r="B10" s="1510" t="s">
        <v>1210</v>
      </c>
      <c r="C10" s="1528" t="s">
        <v>99</v>
      </c>
      <c r="D10" s="1524" t="s">
        <v>102</v>
      </c>
      <c r="E10" s="1508" t="s">
        <v>1433</v>
      </c>
      <c r="F10" s="1510">
        <f>G10+H10</f>
        <v>82</v>
      </c>
      <c r="G10" s="1506">
        <v>82</v>
      </c>
      <c r="H10" s="1506">
        <v>0</v>
      </c>
      <c r="I10" s="548">
        <f aca="true" t="shared" si="0" ref="I10:I51">J10+K10</f>
        <v>3</v>
      </c>
      <c r="J10" s="549">
        <v>3</v>
      </c>
      <c r="K10" s="550">
        <v>0</v>
      </c>
      <c r="L10" s="548">
        <f aca="true" t="shared" si="1" ref="L10:L51">M10+N10</f>
        <v>74</v>
      </c>
      <c r="M10" s="549">
        <v>63</v>
      </c>
      <c r="N10" s="991">
        <v>11</v>
      </c>
    </row>
    <row r="11" spans="1:14" s="266" customFormat="1" ht="99" customHeight="1" thickBot="1">
      <c r="A11" s="1527"/>
      <c r="B11" s="1511"/>
      <c r="C11" s="1529"/>
      <c r="D11" s="1525"/>
      <c r="E11" s="1509"/>
      <c r="F11" s="1511"/>
      <c r="G11" s="1507"/>
      <c r="H11" s="1507"/>
      <c r="I11" s="962">
        <f t="shared" si="0"/>
        <v>80.78</v>
      </c>
      <c r="J11" s="551">
        <v>80.78</v>
      </c>
      <c r="K11" s="552">
        <v>0</v>
      </c>
      <c r="L11" s="962">
        <f t="shared" si="1"/>
        <v>1163</v>
      </c>
      <c r="M11" s="551">
        <v>1045</v>
      </c>
      <c r="N11" s="982">
        <v>118</v>
      </c>
    </row>
    <row r="12" spans="1:14" s="266" customFormat="1" ht="12.75" customHeight="1">
      <c r="A12" s="1526">
        <v>2</v>
      </c>
      <c r="B12" s="1510" t="s">
        <v>850</v>
      </c>
      <c r="C12" s="1528" t="s">
        <v>152</v>
      </c>
      <c r="D12" s="1524" t="s">
        <v>102</v>
      </c>
      <c r="E12" s="1524" t="s">
        <v>1438</v>
      </c>
      <c r="F12" s="1510">
        <f>G12+H12</f>
        <v>23.58</v>
      </c>
      <c r="G12" s="1506">
        <v>23.58</v>
      </c>
      <c r="H12" s="1506">
        <v>0</v>
      </c>
      <c r="I12" s="548">
        <f t="shared" si="0"/>
        <v>1</v>
      </c>
      <c r="J12" s="550">
        <v>1</v>
      </c>
      <c r="K12" s="991">
        <v>0</v>
      </c>
      <c r="L12" s="548">
        <f t="shared" si="1"/>
        <v>20</v>
      </c>
      <c r="M12" s="550">
        <v>19</v>
      </c>
      <c r="N12" s="991">
        <v>1</v>
      </c>
    </row>
    <row r="13" spans="1:14" s="266" customFormat="1" ht="18" customHeight="1" thickBot="1">
      <c r="A13" s="1527"/>
      <c r="B13" s="1511"/>
      <c r="C13" s="1529"/>
      <c r="D13" s="1525"/>
      <c r="E13" s="1525"/>
      <c r="F13" s="1511"/>
      <c r="G13" s="1507"/>
      <c r="H13" s="1507"/>
      <c r="I13" s="962">
        <f t="shared" si="0"/>
        <v>72.53</v>
      </c>
      <c r="J13" s="552">
        <v>72.53</v>
      </c>
      <c r="K13" s="982">
        <v>0</v>
      </c>
      <c r="L13" s="962">
        <f t="shared" si="1"/>
        <v>363</v>
      </c>
      <c r="M13" s="552">
        <v>343</v>
      </c>
      <c r="N13" s="982">
        <v>20</v>
      </c>
    </row>
    <row r="14" spans="1:14" s="266" customFormat="1" ht="12.75" customHeight="1" hidden="1" thickBot="1">
      <c r="A14" s="1459"/>
      <c r="B14" s="1461" t="s">
        <v>798</v>
      </c>
      <c r="C14" s="1463"/>
      <c r="D14" s="1465"/>
      <c r="E14" s="1461"/>
      <c r="F14" s="1461">
        <f>G14+H14</f>
        <v>0</v>
      </c>
      <c r="G14" s="1457"/>
      <c r="H14" s="1474">
        <v>0</v>
      </c>
      <c r="I14" s="992">
        <f t="shared" si="0"/>
        <v>0</v>
      </c>
      <c r="J14" s="993">
        <v>0</v>
      </c>
      <c r="K14" s="994">
        <v>0</v>
      </c>
      <c r="L14" s="992">
        <f t="shared" si="1"/>
        <v>0</v>
      </c>
      <c r="M14" s="993"/>
      <c r="N14" s="994"/>
    </row>
    <row r="15" spans="1:14" s="266" customFormat="1" ht="12.75" customHeight="1" hidden="1">
      <c r="A15" s="1530"/>
      <c r="B15" s="1523"/>
      <c r="C15" s="1531"/>
      <c r="D15" s="1521"/>
      <c r="E15" s="1523"/>
      <c r="F15" s="1523"/>
      <c r="G15" s="1540"/>
      <c r="H15" s="1481"/>
      <c r="I15" s="995">
        <f t="shared" si="0"/>
        <v>0</v>
      </c>
      <c r="J15" s="996">
        <v>0</v>
      </c>
      <c r="K15" s="997">
        <v>0</v>
      </c>
      <c r="L15" s="995">
        <f t="shared" si="1"/>
        <v>0</v>
      </c>
      <c r="M15" s="996"/>
      <c r="N15" s="997"/>
    </row>
    <row r="16" spans="1:14" s="266" customFormat="1" ht="12.75" customHeight="1" hidden="1">
      <c r="A16" s="1537"/>
      <c r="B16" s="1522" t="s">
        <v>799</v>
      </c>
      <c r="C16" s="1536"/>
      <c r="D16" s="1520"/>
      <c r="E16" s="1520"/>
      <c r="F16" s="1522">
        <f>G16+H16</f>
        <v>0</v>
      </c>
      <c r="G16" s="1478"/>
      <c r="H16" s="1480"/>
      <c r="I16" s="992">
        <f t="shared" si="0"/>
        <v>0</v>
      </c>
      <c r="J16" s="993">
        <v>0</v>
      </c>
      <c r="K16" s="998">
        <v>0</v>
      </c>
      <c r="L16" s="992">
        <f t="shared" si="1"/>
        <v>0</v>
      </c>
      <c r="M16" s="993"/>
      <c r="N16" s="994"/>
    </row>
    <row r="17" spans="1:14" s="266" customFormat="1" ht="12.75" customHeight="1" hidden="1">
      <c r="A17" s="1530"/>
      <c r="B17" s="1523"/>
      <c r="C17" s="1531"/>
      <c r="D17" s="1521"/>
      <c r="E17" s="1521"/>
      <c r="F17" s="1523"/>
      <c r="G17" s="1479"/>
      <c r="H17" s="1481"/>
      <c r="I17" s="995">
        <f t="shared" si="0"/>
        <v>0</v>
      </c>
      <c r="J17" s="996">
        <v>0</v>
      </c>
      <c r="K17" s="1005">
        <v>0</v>
      </c>
      <c r="L17" s="995">
        <f t="shared" si="1"/>
        <v>0</v>
      </c>
      <c r="M17" s="996"/>
      <c r="N17" s="997"/>
    </row>
    <row r="18" spans="1:14" s="266" customFormat="1" ht="12.75" customHeight="1" hidden="1">
      <c r="A18" s="1537"/>
      <c r="B18" s="1522" t="s">
        <v>800</v>
      </c>
      <c r="C18" s="1536"/>
      <c r="D18" s="1520"/>
      <c r="E18" s="1520"/>
      <c r="F18" s="1522">
        <f>G18+H18</f>
        <v>0</v>
      </c>
      <c r="G18" s="1480"/>
      <c r="H18" s="1480"/>
      <c r="I18" s="992">
        <f t="shared" si="0"/>
        <v>0</v>
      </c>
      <c r="J18" s="999"/>
      <c r="K18" s="994">
        <v>0</v>
      </c>
      <c r="L18" s="992">
        <f t="shared" si="1"/>
        <v>0</v>
      </c>
      <c r="M18" s="999"/>
      <c r="N18" s="994"/>
    </row>
    <row r="19" spans="1:14" s="266" customFormat="1" ht="25.5" customHeight="1" hidden="1">
      <c r="A19" s="1502"/>
      <c r="B19" s="1469"/>
      <c r="C19" s="1501"/>
      <c r="D19" s="1494"/>
      <c r="E19" s="1494"/>
      <c r="F19" s="1469"/>
      <c r="G19" s="1482"/>
      <c r="H19" s="1482"/>
      <c r="I19" s="1000">
        <f t="shared" si="0"/>
        <v>0</v>
      </c>
      <c r="J19" s="1001"/>
      <c r="K19" s="1002">
        <v>0</v>
      </c>
      <c r="L19" s="1000">
        <f t="shared" si="1"/>
        <v>0</v>
      </c>
      <c r="M19" s="1001"/>
      <c r="N19" s="1002"/>
    </row>
    <row r="20" spans="1:14" s="266" customFormat="1" ht="12.75" customHeight="1">
      <c r="A20" s="1459">
        <v>3</v>
      </c>
      <c r="B20" s="1461" t="s">
        <v>854</v>
      </c>
      <c r="C20" s="1463" t="s">
        <v>156</v>
      </c>
      <c r="D20" s="1465" t="s">
        <v>27</v>
      </c>
      <c r="E20" s="1461" t="s">
        <v>1182</v>
      </c>
      <c r="F20" s="1461">
        <f>G20+H20</f>
        <v>6.114</v>
      </c>
      <c r="G20" s="1457">
        <v>6.114</v>
      </c>
      <c r="H20" s="1474">
        <v>0</v>
      </c>
      <c r="I20" s="750">
        <f t="shared" si="0"/>
        <v>0</v>
      </c>
      <c r="J20" s="751">
        <v>0</v>
      </c>
      <c r="K20" s="752">
        <v>0</v>
      </c>
      <c r="L20" s="750">
        <f t="shared" si="1"/>
        <v>6</v>
      </c>
      <c r="M20" s="751">
        <v>6</v>
      </c>
      <c r="N20" s="752">
        <v>0</v>
      </c>
    </row>
    <row r="21" spans="1:14" s="266" customFormat="1" ht="12.75" customHeight="1" thickBot="1">
      <c r="A21" s="1460"/>
      <c r="B21" s="1462"/>
      <c r="C21" s="1464"/>
      <c r="D21" s="1466"/>
      <c r="E21" s="1462"/>
      <c r="F21" s="1462"/>
      <c r="G21" s="1458"/>
      <c r="H21" s="1475"/>
      <c r="I21" s="978">
        <f t="shared" si="0"/>
        <v>0</v>
      </c>
      <c r="J21" s="753">
        <v>0</v>
      </c>
      <c r="K21" s="748">
        <v>0</v>
      </c>
      <c r="L21" s="978">
        <f t="shared" si="1"/>
        <v>86</v>
      </c>
      <c r="M21" s="753">
        <v>86</v>
      </c>
      <c r="N21" s="748">
        <v>0</v>
      </c>
    </row>
    <row r="22" spans="1:14" s="266" customFormat="1" ht="12.75" customHeight="1" hidden="1" thickBot="1">
      <c r="A22" s="1502"/>
      <c r="B22" s="1469"/>
      <c r="C22" s="1501"/>
      <c r="D22" s="1494"/>
      <c r="E22" s="1494"/>
      <c r="F22" s="1469"/>
      <c r="G22" s="1469"/>
      <c r="H22" s="1469"/>
      <c r="I22" s="1003"/>
      <c r="J22" s="999"/>
      <c r="K22" s="1004"/>
      <c r="L22" s="1003"/>
      <c r="M22" s="999"/>
      <c r="N22" s="1004"/>
    </row>
    <row r="23" spans="1:14" s="266" customFormat="1" ht="16.5" customHeight="1" hidden="1">
      <c r="A23" s="1502"/>
      <c r="B23" s="1469"/>
      <c r="C23" s="1501"/>
      <c r="D23" s="1494"/>
      <c r="E23" s="1494"/>
      <c r="F23" s="1469"/>
      <c r="G23" s="1469"/>
      <c r="H23" s="1469"/>
      <c r="I23" s="1006"/>
      <c r="J23" s="1007"/>
      <c r="K23" s="1002"/>
      <c r="L23" s="1000"/>
      <c r="M23" s="1001"/>
      <c r="N23" s="1002"/>
    </row>
    <row r="24" spans="1:14" s="266" customFormat="1" ht="12.75">
      <c r="A24" s="1459">
        <v>4</v>
      </c>
      <c r="B24" s="1461" t="s">
        <v>855</v>
      </c>
      <c r="C24" s="1463" t="s">
        <v>157</v>
      </c>
      <c r="D24" s="1465" t="s">
        <v>27</v>
      </c>
      <c r="E24" s="1461" t="s">
        <v>1183</v>
      </c>
      <c r="F24" s="1461">
        <f>G24+H24</f>
        <v>11.084</v>
      </c>
      <c r="G24" s="1457">
        <v>11.084</v>
      </c>
      <c r="H24" s="1474">
        <v>0</v>
      </c>
      <c r="I24" s="750">
        <f t="shared" si="0"/>
        <v>0</v>
      </c>
      <c r="J24" s="751">
        <v>0</v>
      </c>
      <c r="K24" s="752">
        <v>0</v>
      </c>
      <c r="L24" s="750">
        <f t="shared" si="1"/>
        <v>4</v>
      </c>
      <c r="M24" s="751">
        <v>3</v>
      </c>
      <c r="N24" s="752">
        <v>1</v>
      </c>
    </row>
    <row r="25" spans="1:14" s="266" customFormat="1" ht="13.5" thickBot="1">
      <c r="A25" s="1460"/>
      <c r="B25" s="1462"/>
      <c r="C25" s="1464"/>
      <c r="D25" s="1466"/>
      <c r="E25" s="1462"/>
      <c r="F25" s="1462"/>
      <c r="G25" s="1458"/>
      <c r="H25" s="1475"/>
      <c r="I25" s="978">
        <f t="shared" si="0"/>
        <v>0</v>
      </c>
      <c r="J25" s="753">
        <v>0</v>
      </c>
      <c r="K25" s="748">
        <v>0</v>
      </c>
      <c r="L25" s="978">
        <f t="shared" si="1"/>
        <v>60</v>
      </c>
      <c r="M25" s="753">
        <v>48</v>
      </c>
      <c r="N25" s="748">
        <v>12</v>
      </c>
    </row>
    <row r="26" spans="1:14" s="266" customFormat="1" ht="12.75" customHeight="1" hidden="1" thickBot="1">
      <c r="A26" s="1502"/>
      <c r="B26" s="1469"/>
      <c r="C26" s="1501"/>
      <c r="D26" s="1494"/>
      <c r="E26" s="1469"/>
      <c r="F26" s="1469">
        <f>G26+H26</f>
        <v>0</v>
      </c>
      <c r="G26" s="1482">
        <v>0</v>
      </c>
      <c r="H26" s="1482"/>
      <c r="I26" s="1003">
        <f t="shared" si="0"/>
        <v>0</v>
      </c>
      <c r="J26" s="1008">
        <v>0</v>
      </c>
      <c r="K26" s="1004">
        <v>0</v>
      </c>
      <c r="L26" s="1003">
        <f t="shared" si="1"/>
        <v>0</v>
      </c>
      <c r="M26" s="1008">
        <v>0</v>
      </c>
      <c r="N26" s="1004">
        <v>0</v>
      </c>
    </row>
    <row r="27" spans="1:14" s="266" customFormat="1" ht="12.75" customHeight="1" hidden="1">
      <c r="A27" s="1502"/>
      <c r="B27" s="1469"/>
      <c r="C27" s="1501"/>
      <c r="D27" s="1494"/>
      <c r="E27" s="1469"/>
      <c r="F27" s="1469"/>
      <c r="G27" s="1482"/>
      <c r="H27" s="1482"/>
      <c r="I27" s="1000">
        <f t="shared" si="0"/>
        <v>0</v>
      </c>
      <c r="J27" s="1009">
        <v>0</v>
      </c>
      <c r="K27" s="1002">
        <v>0</v>
      </c>
      <c r="L27" s="1000">
        <f t="shared" si="1"/>
        <v>0</v>
      </c>
      <c r="M27" s="1009">
        <v>0</v>
      </c>
      <c r="N27" s="1002">
        <v>0</v>
      </c>
    </row>
    <row r="28" spans="1:14" s="266" customFormat="1" ht="12.75" customHeight="1">
      <c r="A28" s="1459">
        <v>5</v>
      </c>
      <c r="B28" s="1461" t="s">
        <v>858</v>
      </c>
      <c r="C28" s="1538" t="s">
        <v>158</v>
      </c>
      <c r="D28" s="1465" t="s">
        <v>27</v>
      </c>
      <c r="E28" s="1461" t="s">
        <v>1184</v>
      </c>
      <c r="F28" s="1461">
        <f>G28+H28</f>
        <v>1.922</v>
      </c>
      <c r="G28" s="1457">
        <v>1.922</v>
      </c>
      <c r="H28" s="1474">
        <v>0</v>
      </c>
      <c r="I28" s="750">
        <f t="shared" si="0"/>
        <v>0</v>
      </c>
      <c r="J28" s="751">
        <v>0</v>
      </c>
      <c r="K28" s="752">
        <v>0</v>
      </c>
      <c r="L28" s="750">
        <f t="shared" si="1"/>
        <v>0</v>
      </c>
      <c r="M28" s="751">
        <v>0</v>
      </c>
      <c r="N28" s="752">
        <v>0</v>
      </c>
    </row>
    <row r="29" spans="1:14" s="266" customFormat="1" ht="13.5" thickBot="1">
      <c r="A29" s="1460"/>
      <c r="B29" s="1462"/>
      <c r="C29" s="1539"/>
      <c r="D29" s="1466"/>
      <c r="E29" s="1462"/>
      <c r="F29" s="1462"/>
      <c r="G29" s="1458"/>
      <c r="H29" s="1475"/>
      <c r="I29" s="978">
        <f t="shared" si="0"/>
        <v>0</v>
      </c>
      <c r="J29" s="753">
        <v>0</v>
      </c>
      <c r="K29" s="748">
        <v>0</v>
      </c>
      <c r="L29" s="978">
        <f t="shared" si="1"/>
        <v>0</v>
      </c>
      <c r="M29" s="753">
        <v>0</v>
      </c>
      <c r="N29" s="748">
        <v>0</v>
      </c>
    </row>
    <row r="30" spans="1:14" s="266" customFormat="1" ht="12.75">
      <c r="A30" s="1459">
        <v>6</v>
      </c>
      <c r="B30" s="1461" t="s">
        <v>859</v>
      </c>
      <c r="C30" s="1463" t="s">
        <v>422</v>
      </c>
      <c r="D30" s="1465" t="s">
        <v>27</v>
      </c>
      <c r="E30" s="1461" t="s">
        <v>640</v>
      </c>
      <c r="F30" s="1457">
        <f>G30+H30</f>
        <v>16.09</v>
      </c>
      <c r="G30" s="1457">
        <v>6.13</v>
      </c>
      <c r="H30" s="1457">
        <v>9.96</v>
      </c>
      <c r="I30" s="750">
        <f t="shared" si="0"/>
        <v>1</v>
      </c>
      <c r="J30" s="751">
        <v>1</v>
      </c>
      <c r="K30" s="752">
        <v>0</v>
      </c>
      <c r="L30" s="750">
        <f t="shared" si="1"/>
        <v>10</v>
      </c>
      <c r="M30" s="751">
        <v>1</v>
      </c>
      <c r="N30" s="752">
        <v>9</v>
      </c>
    </row>
    <row r="31" spans="1:14" s="266" customFormat="1" ht="12.75" customHeight="1" thickBot="1">
      <c r="A31" s="1460"/>
      <c r="B31" s="1462"/>
      <c r="C31" s="1464"/>
      <c r="D31" s="1466"/>
      <c r="E31" s="1462"/>
      <c r="F31" s="1458"/>
      <c r="G31" s="1458"/>
      <c r="H31" s="1458"/>
      <c r="I31" s="978">
        <f t="shared" si="0"/>
        <v>24.55</v>
      </c>
      <c r="J31" s="753">
        <v>24.55</v>
      </c>
      <c r="K31" s="748">
        <v>0</v>
      </c>
      <c r="L31" s="978">
        <v>121</v>
      </c>
      <c r="M31" s="753">
        <v>14</v>
      </c>
      <c r="N31" s="748">
        <v>107</v>
      </c>
    </row>
    <row r="32" spans="1:14" s="266" customFormat="1" ht="12.75">
      <c r="A32" s="1459">
        <v>7</v>
      </c>
      <c r="B32" s="1461" t="s">
        <v>860</v>
      </c>
      <c r="C32" s="1463" t="s">
        <v>423</v>
      </c>
      <c r="D32" s="1465" t="s">
        <v>27</v>
      </c>
      <c r="E32" s="1461" t="s">
        <v>682</v>
      </c>
      <c r="F32" s="1457">
        <f>G32+H32</f>
        <v>16.863</v>
      </c>
      <c r="G32" s="1457">
        <v>7.363</v>
      </c>
      <c r="H32" s="1457">
        <v>9.5</v>
      </c>
      <c r="I32" s="750">
        <f t="shared" si="0"/>
        <v>1</v>
      </c>
      <c r="J32" s="751">
        <v>1</v>
      </c>
      <c r="K32" s="752">
        <v>0</v>
      </c>
      <c r="L32" s="750">
        <f t="shared" si="1"/>
        <v>8</v>
      </c>
      <c r="M32" s="751">
        <v>4</v>
      </c>
      <c r="N32" s="752">
        <v>4</v>
      </c>
    </row>
    <row r="33" spans="1:14" s="266" customFormat="1" ht="12.75" customHeight="1" thickBot="1">
      <c r="A33" s="1460"/>
      <c r="B33" s="1462"/>
      <c r="C33" s="1464"/>
      <c r="D33" s="1466"/>
      <c r="E33" s="1462"/>
      <c r="F33" s="1458"/>
      <c r="G33" s="1458"/>
      <c r="H33" s="1458"/>
      <c r="I33" s="977">
        <f t="shared" si="0"/>
        <v>46</v>
      </c>
      <c r="J33" s="755">
        <v>46</v>
      </c>
      <c r="K33" s="748">
        <v>0</v>
      </c>
      <c r="L33" s="978">
        <f>M33+N33</f>
        <v>101</v>
      </c>
      <c r="M33" s="753">
        <v>52</v>
      </c>
      <c r="N33" s="748">
        <v>49</v>
      </c>
    </row>
    <row r="34" spans="1:14" s="266" customFormat="1" ht="12.75" customHeight="1">
      <c r="A34" s="1459">
        <v>8</v>
      </c>
      <c r="B34" s="1461" t="s">
        <v>861</v>
      </c>
      <c r="C34" s="1463" t="s">
        <v>159</v>
      </c>
      <c r="D34" s="1465" t="s">
        <v>27</v>
      </c>
      <c r="E34" s="1465" t="s">
        <v>1185</v>
      </c>
      <c r="F34" s="1457">
        <f>G34+H34</f>
        <v>2.09</v>
      </c>
      <c r="G34" s="1457">
        <v>2.09</v>
      </c>
      <c r="H34" s="1474">
        <v>0</v>
      </c>
      <c r="I34" s="750">
        <f t="shared" si="0"/>
        <v>0</v>
      </c>
      <c r="J34" s="751">
        <v>0</v>
      </c>
      <c r="K34" s="752">
        <v>0</v>
      </c>
      <c r="L34" s="750">
        <f t="shared" si="1"/>
        <v>2</v>
      </c>
      <c r="M34" s="751">
        <v>2</v>
      </c>
      <c r="N34" s="752">
        <v>0</v>
      </c>
    </row>
    <row r="35" spans="1:14" s="266" customFormat="1" ht="12.75" customHeight="1" thickBot="1">
      <c r="A35" s="1460"/>
      <c r="B35" s="1462"/>
      <c r="C35" s="1464"/>
      <c r="D35" s="1466"/>
      <c r="E35" s="1466"/>
      <c r="F35" s="1458"/>
      <c r="G35" s="1458"/>
      <c r="H35" s="1475"/>
      <c r="I35" s="978">
        <f t="shared" si="0"/>
        <v>0</v>
      </c>
      <c r="J35" s="753">
        <v>0</v>
      </c>
      <c r="K35" s="748">
        <v>0</v>
      </c>
      <c r="L35" s="978">
        <f t="shared" si="1"/>
        <v>25</v>
      </c>
      <c r="M35" s="753">
        <v>25</v>
      </c>
      <c r="N35" s="748">
        <v>0</v>
      </c>
    </row>
    <row r="36" spans="1:14" s="266" customFormat="1" ht="12.75">
      <c r="A36" s="1459">
        <v>9</v>
      </c>
      <c r="B36" s="1461" t="s">
        <v>862</v>
      </c>
      <c r="C36" s="1463" t="s">
        <v>160</v>
      </c>
      <c r="D36" s="1465" t="s">
        <v>27</v>
      </c>
      <c r="E36" s="1465" t="s">
        <v>641</v>
      </c>
      <c r="F36" s="1461">
        <f>G36+H36</f>
        <v>3.208</v>
      </c>
      <c r="G36" s="1457">
        <v>3.208</v>
      </c>
      <c r="H36" s="1474">
        <v>0</v>
      </c>
      <c r="I36" s="750">
        <f t="shared" si="0"/>
        <v>1</v>
      </c>
      <c r="J36" s="751">
        <v>1</v>
      </c>
      <c r="K36" s="752">
        <v>0</v>
      </c>
      <c r="L36" s="750">
        <f t="shared" si="1"/>
        <v>1</v>
      </c>
      <c r="M36" s="751">
        <v>1</v>
      </c>
      <c r="N36" s="752">
        <v>0</v>
      </c>
    </row>
    <row r="37" spans="1:14" s="266" customFormat="1" ht="13.5" thickBot="1">
      <c r="A37" s="1460"/>
      <c r="B37" s="1462"/>
      <c r="C37" s="1464"/>
      <c r="D37" s="1466"/>
      <c r="E37" s="1466"/>
      <c r="F37" s="1462"/>
      <c r="G37" s="1458"/>
      <c r="H37" s="1475"/>
      <c r="I37" s="978">
        <f t="shared" si="0"/>
        <v>40.14</v>
      </c>
      <c r="J37" s="753">
        <v>40.14</v>
      </c>
      <c r="K37" s="748">
        <v>0</v>
      </c>
      <c r="L37" s="978">
        <f t="shared" si="1"/>
        <v>10</v>
      </c>
      <c r="M37" s="753">
        <v>10</v>
      </c>
      <c r="N37" s="748">
        <v>0</v>
      </c>
    </row>
    <row r="38" spans="1:14" s="266" customFormat="1" ht="12.75" customHeight="1">
      <c r="A38" s="1459">
        <v>10</v>
      </c>
      <c r="B38" s="1461" t="s">
        <v>863</v>
      </c>
      <c r="C38" s="1463" t="s">
        <v>161</v>
      </c>
      <c r="D38" s="1465" t="s">
        <v>27</v>
      </c>
      <c r="E38" s="1465" t="s">
        <v>1186</v>
      </c>
      <c r="F38" s="1461">
        <f>G38+H38</f>
        <v>2.358</v>
      </c>
      <c r="G38" s="1457">
        <v>2.358</v>
      </c>
      <c r="H38" s="1474">
        <v>0</v>
      </c>
      <c r="I38" s="750">
        <f t="shared" si="0"/>
        <v>0</v>
      </c>
      <c r="J38" s="751">
        <v>0</v>
      </c>
      <c r="K38" s="752">
        <v>0</v>
      </c>
      <c r="L38" s="750">
        <f t="shared" si="1"/>
        <v>0</v>
      </c>
      <c r="M38" s="751">
        <v>0</v>
      </c>
      <c r="N38" s="752">
        <v>0</v>
      </c>
    </row>
    <row r="39" spans="1:14" s="266" customFormat="1" ht="12.75" customHeight="1" thickBot="1">
      <c r="A39" s="1460"/>
      <c r="B39" s="1462"/>
      <c r="C39" s="1464"/>
      <c r="D39" s="1466"/>
      <c r="E39" s="1466"/>
      <c r="F39" s="1462"/>
      <c r="G39" s="1458"/>
      <c r="H39" s="1475"/>
      <c r="I39" s="978">
        <f t="shared" si="0"/>
        <v>0</v>
      </c>
      <c r="J39" s="753">
        <v>0</v>
      </c>
      <c r="K39" s="748">
        <v>0</v>
      </c>
      <c r="L39" s="978">
        <f t="shared" si="1"/>
        <v>0</v>
      </c>
      <c r="M39" s="753">
        <v>0</v>
      </c>
      <c r="N39" s="748">
        <v>0</v>
      </c>
    </row>
    <row r="40" spans="1:14" s="266" customFormat="1" ht="12.75">
      <c r="A40" s="1459">
        <v>11</v>
      </c>
      <c r="B40" s="1461" t="s">
        <v>864</v>
      </c>
      <c r="C40" s="1463" t="s">
        <v>494</v>
      </c>
      <c r="D40" s="1465" t="s">
        <v>27</v>
      </c>
      <c r="E40" s="1465" t="s">
        <v>643</v>
      </c>
      <c r="F40" s="1461">
        <f>G40+H40</f>
        <v>3.723</v>
      </c>
      <c r="G40" s="1457">
        <v>3.723</v>
      </c>
      <c r="H40" s="1474">
        <v>0</v>
      </c>
      <c r="I40" s="750">
        <f>J40+K40</f>
        <v>2</v>
      </c>
      <c r="J40" s="751">
        <v>2</v>
      </c>
      <c r="K40" s="752">
        <v>0</v>
      </c>
      <c r="L40" s="750">
        <f>M40+N40</f>
        <v>5</v>
      </c>
      <c r="M40" s="751">
        <v>5</v>
      </c>
      <c r="N40" s="752">
        <v>0</v>
      </c>
    </row>
    <row r="41" spans="1:14" s="266" customFormat="1" ht="13.5" thickBot="1">
      <c r="A41" s="1460"/>
      <c r="B41" s="1462"/>
      <c r="C41" s="1464"/>
      <c r="D41" s="1466"/>
      <c r="E41" s="1466"/>
      <c r="F41" s="1462"/>
      <c r="G41" s="1458"/>
      <c r="H41" s="1475"/>
      <c r="I41" s="977">
        <f>J41+K41</f>
        <v>81.9</v>
      </c>
      <c r="J41" s="755">
        <v>81.9</v>
      </c>
      <c r="K41" s="748">
        <v>0</v>
      </c>
      <c r="L41" s="978">
        <f>M41+N41</f>
        <v>112</v>
      </c>
      <c r="M41" s="753">
        <v>112</v>
      </c>
      <c r="N41" s="748">
        <v>0</v>
      </c>
    </row>
    <row r="42" spans="1:14" s="266" customFormat="1" ht="12.75">
      <c r="A42" s="1459">
        <v>12</v>
      </c>
      <c r="B42" s="1461" t="s">
        <v>865</v>
      </c>
      <c r="C42" s="1463" t="s">
        <v>162</v>
      </c>
      <c r="D42" s="1465" t="s">
        <v>27</v>
      </c>
      <c r="E42" s="1465" t="s">
        <v>123</v>
      </c>
      <c r="F42" s="1461">
        <f>G42+H42</f>
        <v>2</v>
      </c>
      <c r="G42" s="1474">
        <v>2</v>
      </c>
      <c r="H42" s="1474">
        <v>0</v>
      </c>
      <c r="I42" s="750">
        <f t="shared" si="0"/>
        <v>0</v>
      </c>
      <c r="J42" s="751">
        <v>0</v>
      </c>
      <c r="K42" s="752">
        <v>0</v>
      </c>
      <c r="L42" s="750">
        <f t="shared" si="1"/>
        <v>4</v>
      </c>
      <c r="M42" s="751">
        <v>2</v>
      </c>
      <c r="N42" s="752">
        <v>2</v>
      </c>
    </row>
    <row r="43" spans="1:14" s="266" customFormat="1" ht="13.5" thickBot="1">
      <c r="A43" s="1460"/>
      <c r="B43" s="1462"/>
      <c r="C43" s="1464"/>
      <c r="D43" s="1466"/>
      <c r="E43" s="1466"/>
      <c r="F43" s="1462"/>
      <c r="G43" s="1475"/>
      <c r="H43" s="1475"/>
      <c r="I43" s="978">
        <f t="shared" si="0"/>
        <v>0</v>
      </c>
      <c r="J43" s="753">
        <v>0</v>
      </c>
      <c r="K43" s="748">
        <v>0</v>
      </c>
      <c r="L43" s="978">
        <f t="shared" si="1"/>
        <v>53</v>
      </c>
      <c r="M43" s="753">
        <v>28</v>
      </c>
      <c r="N43" s="748">
        <v>25</v>
      </c>
    </row>
    <row r="44" spans="1:14" s="266" customFormat="1" ht="13.5" hidden="1" thickBot="1">
      <c r="A44" s="1502"/>
      <c r="B44" s="1469"/>
      <c r="C44" s="1501"/>
      <c r="D44" s="1494"/>
      <c r="E44" s="1494"/>
      <c r="F44" s="1469"/>
      <c r="G44" s="1482"/>
      <c r="H44" s="1482"/>
      <c r="I44" s="1003"/>
      <c r="J44" s="1008"/>
      <c r="K44" s="1004"/>
      <c r="L44" s="1003"/>
      <c r="M44" s="1008"/>
      <c r="N44" s="1004"/>
    </row>
    <row r="45" spans="1:14" s="266" customFormat="1" ht="13.5" hidden="1" thickBot="1">
      <c r="A45" s="1502"/>
      <c r="B45" s="1469"/>
      <c r="C45" s="1501"/>
      <c r="D45" s="1494"/>
      <c r="E45" s="1494"/>
      <c r="F45" s="1469"/>
      <c r="G45" s="1482"/>
      <c r="H45" s="1482"/>
      <c r="I45" s="1000"/>
      <c r="J45" s="1009"/>
      <c r="K45" s="1002"/>
      <c r="L45" s="1000"/>
      <c r="M45" s="1009"/>
      <c r="N45" s="1002"/>
    </row>
    <row r="46" spans="1:14" s="266" customFormat="1" ht="12.75">
      <c r="A46" s="1459">
        <v>13</v>
      </c>
      <c r="B46" s="1461" t="s">
        <v>866</v>
      </c>
      <c r="C46" s="1463" t="s">
        <v>165</v>
      </c>
      <c r="D46" s="1465" t="s">
        <v>49</v>
      </c>
      <c r="E46" s="1465" t="s">
        <v>642</v>
      </c>
      <c r="F46" s="1461">
        <f>G46+H46</f>
        <v>2.149</v>
      </c>
      <c r="G46" s="1457">
        <v>2.149</v>
      </c>
      <c r="H46" s="1474">
        <v>0</v>
      </c>
      <c r="I46" s="750">
        <f>J46+K46</f>
        <v>0</v>
      </c>
      <c r="J46" s="751">
        <v>0</v>
      </c>
      <c r="K46" s="752">
        <v>0</v>
      </c>
      <c r="L46" s="750">
        <f>M46+N46</f>
        <v>1</v>
      </c>
      <c r="M46" s="751">
        <v>1</v>
      </c>
      <c r="N46" s="752">
        <v>0</v>
      </c>
    </row>
    <row r="47" spans="1:14" s="266" customFormat="1" ht="13.5" thickBot="1">
      <c r="A47" s="1460"/>
      <c r="B47" s="1462"/>
      <c r="C47" s="1464"/>
      <c r="D47" s="1466"/>
      <c r="E47" s="1466"/>
      <c r="F47" s="1462"/>
      <c r="G47" s="1458"/>
      <c r="H47" s="1475"/>
      <c r="I47" s="978">
        <f>J47+K47</f>
        <v>0</v>
      </c>
      <c r="J47" s="753">
        <v>0</v>
      </c>
      <c r="K47" s="748">
        <v>0</v>
      </c>
      <c r="L47" s="978">
        <f>M47+N47</f>
        <v>10</v>
      </c>
      <c r="M47" s="753">
        <v>10</v>
      </c>
      <c r="N47" s="748">
        <v>0</v>
      </c>
    </row>
    <row r="48" spans="1:14" s="266" customFormat="1" ht="12.75">
      <c r="A48" s="1459">
        <v>14</v>
      </c>
      <c r="B48" s="1461" t="s">
        <v>867</v>
      </c>
      <c r="C48" s="1463" t="s">
        <v>166</v>
      </c>
      <c r="D48" s="1465" t="s">
        <v>49</v>
      </c>
      <c r="E48" s="1465" t="s">
        <v>607</v>
      </c>
      <c r="F48" s="1461">
        <f>G48+H48</f>
        <v>1.153</v>
      </c>
      <c r="G48" s="1457">
        <v>1.153</v>
      </c>
      <c r="H48" s="1474">
        <v>0</v>
      </c>
      <c r="I48" s="750">
        <f>J48+K48</f>
        <v>0</v>
      </c>
      <c r="J48" s="751">
        <v>0</v>
      </c>
      <c r="K48" s="752">
        <v>0</v>
      </c>
      <c r="L48" s="750">
        <f>M48+N48</f>
        <v>1</v>
      </c>
      <c r="M48" s="751">
        <v>1</v>
      </c>
      <c r="N48" s="752">
        <v>0</v>
      </c>
    </row>
    <row r="49" spans="1:14" s="266" customFormat="1" ht="13.5" thickBot="1">
      <c r="A49" s="1460"/>
      <c r="B49" s="1462"/>
      <c r="C49" s="1464"/>
      <c r="D49" s="1466"/>
      <c r="E49" s="1466"/>
      <c r="F49" s="1462"/>
      <c r="G49" s="1458"/>
      <c r="H49" s="1475"/>
      <c r="I49" s="978">
        <f>J49+K49</f>
        <v>0</v>
      </c>
      <c r="J49" s="753">
        <v>0</v>
      </c>
      <c r="K49" s="748">
        <v>0</v>
      </c>
      <c r="L49" s="978">
        <f>M49+N49</f>
        <v>12</v>
      </c>
      <c r="M49" s="753">
        <v>12</v>
      </c>
      <c r="N49" s="748">
        <v>0</v>
      </c>
    </row>
    <row r="50" spans="1:14" s="266" customFormat="1" ht="13.5" customHeight="1">
      <c r="A50" s="1459">
        <v>15</v>
      </c>
      <c r="B50" s="1461" t="s">
        <v>868</v>
      </c>
      <c r="C50" s="1463" t="s">
        <v>164</v>
      </c>
      <c r="D50" s="1465" t="s">
        <v>27</v>
      </c>
      <c r="E50" s="1465" t="s">
        <v>1187</v>
      </c>
      <c r="F50" s="1461">
        <f>G50+H50</f>
        <v>4.521</v>
      </c>
      <c r="G50" s="1457">
        <v>4.521</v>
      </c>
      <c r="H50" s="1474">
        <v>0</v>
      </c>
      <c r="I50" s="750">
        <f t="shared" si="0"/>
        <v>1</v>
      </c>
      <c r="J50" s="751">
        <v>1</v>
      </c>
      <c r="K50" s="752">
        <v>0</v>
      </c>
      <c r="L50" s="750">
        <f t="shared" si="1"/>
        <v>3</v>
      </c>
      <c r="M50" s="751">
        <v>3</v>
      </c>
      <c r="N50" s="752">
        <v>0</v>
      </c>
    </row>
    <row r="51" spans="1:14" s="266" customFormat="1" ht="13.5" thickBot="1">
      <c r="A51" s="1460"/>
      <c r="B51" s="1462"/>
      <c r="C51" s="1464"/>
      <c r="D51" s="1466"/>
      <c r="E51" s="1466"/>
      <c r="F51" s="1462"/>
      <c r="G51" s="1458"/>
      <c r="H51" s="1475"/>
      <c r="I51" s="978">
        <f t="shared" si="0"/>
        <v>39.19</v>
      </c>
      <c r="J51" s="753">
        <v>39.19</v>
      </c>
      <c r="K51" s="748">
        <v>0</v>
      </c>
      <c r="L51" s="978">
        <f t="shared" si="1"/>
        <v>46</v>
      </c>
      <c r="M51" s="753">
        <v>46</v>
      </c>
      <c r="N51" s="748">
        <v>0</v>
      </c>
    </row>
    <row r="52" spans="1:14" s="266" customFormat="1" ht="12.75">
      <c r="A52" s="1459">
        <v>16</v>
      </c>
      <c r="B52" s="1461" t="s">
        <v>869</v>
      </c>
      <c r="C52" s="1463" t="s">
        <v>163</v>
      </c>
      <c r="D52" s="1465" t="s">
        <v>27</v>
      </c>
      <c r="E52" s="1465" t="s">
        <v>58</v>
      </c>
      <c r="F52" s="1461">
        <f>G52+H52</f>
        <v>0.4</v>
      </c>
      <c r="G52" s="1474">
        <v>0.4</v>
      </c>
      <c r="H52" s="1474">
        <v>0</v>
      </c>
      <c r="I52" s="750">
        <f aca="true" t="shared" si="2" ref="I52:I57">J52+K52</f>
        <v>0</v>
      </c>
      <c r="J52" s="751">
        <v>0</v>
      </c>
      <c r="K52" s="752">
        <v>0</v>
      </c>
      <c r="L52" s="750">
        <f aca="true" t="shared" si="3" ref="L52:L57">M52+N52</f>
        <v>1</v>
      </c>
      <c r="M52" s="751">
        <v>0</v>
      </c>
      <c r="N52" s="752">
        <v>1</v>
      </c>
    </row>
    <row r="53" spans="1:14" s="266" customFormat="1" ht="13.5" thickBot="1">
      <c r="A53" s="1460"/>
      <c r="B53" s="1462"/>
      <c r="C53" s="1464"/>
      <c r="D53" s="1466"/>
      <c r="E53" s="1466"/>
      <c r="F53" s="1462"/>
      <c r="G53" s="1475"/>
      <c r="H53" s="1475"/>
      <c r="I53" s="978">
        <f t="shared" si="2"/>
        <v>0</v>
      </c>
      <c r="J53" s="753">
        <v>0</v>
      </c>
      <c r="K53" s="748">
        <v>0</v>
      </c>
      <c r="L53" s="978">
        <f t="shared" si="3"/>
        <v>12</v>
      </c>
      <c r="M53" s="753">
        <v>0</v>
      </c>
      <c r="N53" s="748">
        <v>12</v>
      </c>
    </row>
    <row r="54" spans="1:14" s="266" customFormat="1" ht="12.75">
      <c r="A54" s="1459">
        <v>17</v>
      </c>
      <c r="B54" s="1461" t="s">
        <v>871</v>
      </c>
      <c r="C54" s="1463" t="s">
        <v>168</v>
      </c>
      <c r="D54" s="1465" t="s">
        <v>102</v>
      </c>
      <c r="E54" s="1465" t="s">
        <v>169</v>
      </c>
      <c r="F54" s="1461">
        <f>G54+H54</f>
        <v>13.8</v>
      </c>
      <c r="G54" s="1474">
        <v>13.8</v>
      </c>
      <c r="H54" s="1474">
        <v>0</v>
      </c>
      <c r="I54" s="750">
        <f t="shared" si="2"/>
        <v>1</v>
      </c>
      <c r="J54" s="751">
        <v>1</v>
      </c>
      <c r="K54" s="752">
        <v>0</v>
      </c>
      <c r="L54" s="750">
        <f t="shared" si="3"/>
        <v>16</v>
      </c>
      <c r="M54" s="751">
        <v>15</v>
      </c>
      <c r="N54" s="752">
        <v>1</v>
      </c>
    </row>
    <row r="55" spans="1:14" s="266" customFormat="1" ht="13.5" customHeight="1" thickBot="1">
      <c r="A55" s="1460"/>
      <c r="B55" s="1462"/>
      <c r="C55" s="1464"/>
      <c r="D55" s="1466"/>
      <c r="E55" s="1466"/>
      <c r="F55" s="1462"/>
      <c r="G55" s="1475"/>
      <c r="H55" s="1475"/>
      <c r="I55" s="978">
        <f t="shared" si="2"/>
        <v>37.94</v>
      </c>
      <c r="J55" s="753">
        <v>37.94</v>
      </c>
      <c r="K55" s="748">
        <v>0</v>
      </c>
      <c r="L55" s="978">
        <f t="shared" si="3"/>
        <v>331</v>
      </c>
      <c r="M55" s="753">
        <v>308</v>
      </c>
      <c r="N55" s="748">
        <v>23</v>
      </c>
    </row>
    <row r="56" spans="1:14" s="266" customFormat="1" ht="12.75">
      <c r="A56" s="1459">
        <v>18</v>
      </c>
      <c r="B56" s="1461" t="s">
        <v>872</v>
      </c>
      <c r="C56" s="1463" t="s">
        <v>232</v>
      </c>
      <c r="D56" s="1465" t="s">
        <v>27</v>
      </c>
      <c r="E56" s="1465" t="s">
        <v>1310</v>
      </c>
      <c r="F56" s="1461">
        <f>G56+H56</f>
        <v>17.801</v>
      </c>
      <c r="G56" s="1461">
        <v>17.801</v>
      </c>
      <c r="H56" s="1461"/>
      <c r="I56" s="750">
        <f t="shared" si="2"/>
        <v>1</v>
      </c>
      <c r="J56" s="754">
        <v>1</v>
      </c>
      <c r="K56" s="752">
        <v>0</v>
      </c>
      <c r="L56" s="750">
        <f t="shared" si="3"/>
        <v>11</v>
      </c>
      <c r="M56" s="754">
        <v>6</v>
      </c>
      <c r="N56" s="752">
        <v>5</v>
      </c>
    </row>
    <row r="57" spans="1:14" s="266" customFormat="1" ht="16.5" customHeight="1" thickBot="1">
      <c r="A57" s="1460"/>
      <c r="B57" s="1462"/>
      <c r="C57" s="1464"/>
      <c r="D57" s="1466"/>
      <c r="E57" s="1466"/>
      <c r="F57" s="1462"/>
      <c r="G57" s="1462"/>
      <c r="H57" s="1462"/>
      <c r="I57" s="977">
        <f t="shared" si="2"/>
        <v>24.08</v>
      </c>
      <c r="J57" s="747">
        <v>24.08</v>
      </c>
      <c r="K57" s="748">
        <v>0</v>
      </c>
      <c r="L57" s="978">
        <f t="shared" si="3"/>
        <v>140</v>
      </c>
      <c r="M57" s="749">
        <v>89</v>
      </c>
      <c r="N57" s="748">
        <v>51</v>
      </c>
    </row>
    <row r="58" spans="1:14" s="2" customFormat="1" ht="12.75">
      <c r="A58" s="1495"/>
      <c r="B58" s="230"/>
      <c r="C58" s="1497" t="s">
        <v>229</v>
      </c>
      <c r="D58" s="1486" t="s">
        <v>274</v>
      </c>
      <c r="E58" s="1486"/>
      <c r="F58" s="1488">
        <f>F8+F10+F12+F14+F16+F18+F20+F22+F24+F26+F28+F30+F32+F34+F36+F38+F40+F42+F44+F46+F48+F50+F52+F54+F56</f>
        <v>216.72</v>
      </c>
      <c r="G58" s="1488">
        <f>G8+G10+G12+G14+G16+G18+G20+G22+G24+G26+G28+G30+G32+G34+G36+G38+G40+G42+G44+G46+G48+G50+G52+G54+G56</f>
        <v>197.26</v>
      </c>
      <c r="H58" s="1488">
        <f>H8+H10+H12+H14+H16+H18+H20+H22+H24+H26+H28+H30+H32+H34+H36+H38+H40+H42+H44+H46+H48+H50+H52+H54+H56</f>
        <v>19.46</v>
      </c>
      <c r="I58" s="231">
        <f aca="true" t="shared" si="4" ref="I58:N59">I10+I12+I14+I16+I18+I20+I22+I24+I26+I28+I30+I32+I34+I36+I38+I40+I42+I44+I50+I46+I48+I8+I52+I54+I56</f>
        <v>12</v>
      </c>
      <c r="J58" s="231">
        <f t="shared" si="4"/>
        <v>12</v>
      </c>
      <c r="K58" s="231">
        <f t="shared" si="4"/>
        <v>0</v>
      </c>
      <c r="L58" s="231">
        <f t="shared" si="4"/>
        <v>173</v>
      </c>
      <c r="M58" s="231">
        <f t="shared" si="4"/>
        <v>138</v>
      </c>
      <c r="N58" s="231">
        <f t="shared" si="4"/>
        <v>35</v>
      </c>
    </row>
    <row r="59" spans="1:14" s="2" customFormat="1" ht="13.5" thickBot="1">
      <c r="A59" s="1496"/>
      <c r="B59" s="232"/>
      <c r="C59" s="1498"/>
      <c r="D59" s="1487"/>
      <c r="E59" s="1487"/>
      <c r="F59" s="1489"/>
      <c r="G59" s="1489"/>
      <c r="H59" s="1489"/>
      <c r="I59" s="367">
        <f t="shared" si="4"/>
        <v>447.10999999999996</v>
      </c>
      <c r="J59" s="367">
        <f t="shared" si="4"/>
        <v>447.10999999999996</v>
      </c>
      <c r="K59" s="367">
        <f t="shared" si="4"/>
        <v>0</v>
      </c>
      <c r="L59" s="233">
        <f t="shared" si="4"/>
        <v>2744</v>
      </c>
      <c r="M59" s="233">
        <f t="shared" si="4"/>
        <v>2327</v>
      </c>
      <c r="N59" s="233">
        <f t="shared" si="4"/>
        <v>417</v>
      </c>
    </row>
    <row r="60" spans="1:14" ht="12.75" customHeight="1" hidden="1">
      <c r="A60" s="234"/>
      <c r="B60" s="153"/>
      <c r="C60" s="1483" t="s">
        <v>454</v>
      </c>
      <c r="D60" s="235" t="s">
        <v>450</v>
      </c>
      <c r="E60" s="236"/>
      <c r="F60" s="237">
        <f>SUMIF($D$10:$D$59,"=I",F10:F55)</f>
        <v>0</v>
      </c>
      <c r="G60" s="237">
        <f>SUMIF($D$10:$D$59,"=I",G10:G55)</f>
        <v>0</v>
      </c>
      <c r="H60" s="237">
        <f>SUMIF($D$10:$D$59,"=I",H10:H55)</f>
        <v>0</v>
      </c>
      <c r="I60" s="54"/>
      <c r="J60" s="54"/>
      <c r="K60" s="54"/>
      <c r="L60" s="54"/>
      <c r="M60" s="54"/>
      <c r="N60" s="238"/>
    </row>
    <row r="61" spans="1:14" ht="12.75" customHeight="1" hidden="1">
      <c r="A61" s="234"/>
      <c r="B61" s="153"/>
      <c r="C61" s="1484"/>
      <c r="D61" s="239" t="s">
        <v>100</v>
      </c>
      <c r="E61" s="240"/>
      <c r="F61" s="241">
        <f>SUMIF($D$10:$D$59,"=II",F10:F55)</f>
        <v>0</v>
      </c>
      <c r="G61" s="241">
        <f>SUMIF($D$10:$D$59,"=II",G10:G55)</f>
        <v>0</v>
      </c>
      <c r="H61" s="241">
        <f>SUMIF($D$10:$D$59,"=II",H10:H55)</f>
        <v>0</v>
      </c>
      <c r="I61" s="54"/>
      <c r="J61" s="54"/>
      <c r="K61" s="54"/>
      <c r="L61" s="54"/>
      <c r="M61" s="54"/>
      <c r="N61" s="238"/>
    </row>
    <row r="62" spans="1:14" ht="12.75">
      <c r="A62" s="234"/>
      <c r="B62" s="153"/>
      <c r="C62" s="1484"/>
      <c r="D62" s="242" t="s">
        <v>102</v>
      </c>
      <c r="E62" s="240"/>
      <c r="F62" s="243">
        <f>SUMIF($D$8:$D$57,"=III",F8:F57)</f>
        <v>119.38</v>
      </c>
      <c r="G62" s="243">
        <f>SUMIF($D$8:$D$57,"=III",G8:G57)</f>
        <v>119.38</v>
      </c>
      <c r="H62" s="243">
        <f>SUMIF($D$8:$D$57,"=III",H8:H57)</f>
        <v>0</v>
      </c>
      <c r="I62" s="54"/>
      <c r="J62" s="54"/>
      <c r="K62" s="54"/>
      <c r="L62" s="54"/>
      <c r="M62" s="54"/>
      <c r="N62" s="54"/>
    </row>
    <row r="63" spans="1:14" ht="12" customHeight="1">
      <c r="A63" s="234"/>
      <c r="B63" s="153"/>
      <c r="C63" s="1484"/>
      <c r="D63" s="240" t="s">
        <v>27</v>
      </c>
      <c r="E63" s="244"/>
      <c r="F63" s="241">
        <f>SUMIF($D$8:$D$57,"=IV",F8:F57)</f>
        <v>94.03800000000001</v>
      </c>
      <c r="G63" s="241">
        <f>SUMIF($D$8:$D$57,"=IV",G8:N57)</f>
        <v>74.57799999999999</v>
      </c>
      <c r="H63" s="241">
        <f>SUMIF($D$8:$D$57,"=IV",H8:H57)</f>
        <v>19.46</v>
      </c>
      <c r="I63" s="54"/>
      <c r="J63" s="54"/>
      <c r="K63" s="54"/>
      <c r="L63" s="54"/>
      <c r="M63" s="54"/>
      <c r="N63" s="54"/>
    </row>
    <row r="64" spans="1:14" ht="15" customHeight="1" thickBot="1">
      <c r="A64" s="245"/>
      <c r="B64" s="246"/>
      <c r="C64" s="1485"/>
      <c r="D64" s="247" t="s">
        <v>49</v>
      </c>
      <c r="E64" s="248"/>
      <c r="F64" s="248">
        <f>SUMIF($D$8:$D$57,"=V",F8:F57)</f>
        <v>3.302</v>
      </c>
      <c r="G64" s="248">
        <f>SUMIF($D$8:$D$57,"=V",G8:G57)</f>
        <v>3.302</v>
      </c>
      <c r="H64" s="248">
        <f>SUMIF($D$8:$D$57,"=V",H8:H57)</f>
        <v>0</v>
      </c>
      <c r="I64" s="54"/>
      <c r="J64" s="54"/>
      <c r="K64" s="54"/>
      <c r="L64" s="54"/>
      <c r="M64" s="54"/>
      <c r="N64" s="54"/>
    </row>
    <row r="65" spans="3:8" ht="12.75">
      <c r="C65" s="7"/>
      <c r="D65" s="7"/>
      <c r="F65" s="52"/>
      <c r="G65" s="52"/>
      <c r="H65" s="52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</sheetData>
  <sheetProtection/>
  <mergeCells count="226">
    <mergeCell ref="L5:N5"/>
    <mergeCell ref="G22:G23"/>
    <mergeCell ref="H22:H23"/>
    <mergeCell ref="H12:H13"/>
    <mergeCell ref="H18:H19"/>
    <mergeCell ref="G24:G25"/>
    <mergeCell ref="H24:H25"/>
    <mergeCell ref="F24:F25"/>
    <mergeCell ref="G14:G15"/>
    <mergeCell ref="H14:H15"/>
    <mergeCell ref="E30:E31"/>
    <mergeCell ref="F30:F31"/>
    <mergeCell ref="F28:F29"/>
    <mergeCell ref="G30:G31"/>
    <mergeCell ref="H30:H31"/>
    <mergeCell ref="G32:G33"/>
    <mergeCell ref="G28:G29"/>
    <mergeCell ref="H28:H29"/>
    <mergeCell ref="E28:E29"/>
    <mergeCell ref="A32:A33"/>
    <mergeCell ref="B32:B33"/>
    <mergeCell ref="C32:C33"/>
    <mergeCell ref="D32:D33"/>
    <mergeCell ref="F32:F33"/>
    <mergeCell ref="H32:H33"/>
    <mergeCell ref="D26:D27"/>
    <mergeCell ref="B26:B27"/>
    <mergeCell ref="A30:A31"/>
    <mergeCell ref="B30:B31"/>
    <mergeCell ref="C30:C31"/>
    <mergeCell ref="D30:D31"/>
    <mergeCell ref="C28:C29"/>
    <mergeCell ref="D28:D29"/>
    <mergeCell ref="B24:B25"/>
    <mergeCell ref="A28:A29"/>
    <mergeCell ref="B28:B29"/>
    <mergeCell ref="A26:A27"/>
    <mergeCell ref="C24:C25"/>
    <mergeCell ref="C26:C27"/>
    <mergeCell ref="D24:D25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C18:C19"/>
    <mergeCell ref="D18:D19"/>
    <mergeCell ref="A16:A17"/>
    <mergeCell ref="B16:B17"/>
    <mergeCell ref="C16:C17"/>
    <mergeCell ref="D16:D17"/>
    <mergeCell ref="A18:A19"/>
    <mergeCell ref="B18:B19"/>
    <mergeCell ref="A1:N1"/>
    <mergeCell ref="A2:N2"/>
    <mergeCell ref="A3:N3"/>
    <mergeCell ref="A5:A7"/>
    <mergeCell ref="B5:B7"/>
    <mergeCell ref="C5:C7"/>
    <mergeCell ref="D5:D7"/>
    <mergeCell ref="I6:I7"/>
    <mergeCell ref="E5:E7"/>
    <mergeCell ref="F5:F7"/>
    <mergeCell ref="A14:A15"/>
    <mergeCell ref="B14:B15"/>
    <mergeCell ref="E14:E15"/>
    <mergeCell ref="F14:F15"/>
    <mergeCell ref="C14:C15"/>
    <mergeCell ref="D14:D15"/>
    <mergeCell ref="E12:E13"/>
    <mergeCell ref="F12:F13"/>
    <mergeCell ref="A10:A11"/>
    <mergeCell ref="B10:B11"/>
    <mergeCell ref="C10:C11"/>
    <mergeCell ref="D10:D11"/>
    <mergeCell ref="A12:A13"/>
    <mergeCell ref="B12:B13"/>
    <mergeCell ref="C12:C13"/>
    <mergeCell ref="D12:D13"/>
    <mergeCell ref="F16:F17"/>
    <mergeCell ref="E20:E21"/>
    <mergeCell ref="F20:F21"/>
    <mergeCell ref="E34:E35"/>
    <mergeCell ref="F34:F35"/>
    <mergeCell ref="E18:E19"/>
    <mergeCell ref="F18:F19"/>
    <mergeCell ref="E26:E27"/>
    <mergeCell ref="F26:F27"/>
    <mergeCell ref="E24:E25"/>
    <mergeCell ref="E22:E23"/>
    <mergeCell ref="F22:F23"/>
    <mergeCell ref="E32:E33"/>
    <mergeCell ref="M6:N6"/>
    <mergeCell ref="G5:H5"/>
    <mergeCell ref="G6:G7"/>
    <mergeCell ref="H6:H7"/>
    <mergeCell ref="L6:L7"/>
    <mergeCell ref="J6:K6"/>
    <mergeCell ref="E16:E17"/>
    <mergeCell ref="I5:K5"/>
    <mergeCell ref="A38:A39"/>
    <mergeCell ref="B38:B39"/>
    <mergeCell ref="G10:G11"/>
    <mergeCell ref="H10:H11"/>
    <mergeCell ref="E10:E11"/>
    <mergeCell ref="F10:F11"/>
    <mergeCell ref="G34:G35"/>
    <mergeCell ref="H34:H35"/>
    <mergeCell ref="G12:G13"/>
    <mergeCell ref="A34:A35"/>
    <mergeCell ref="B34:B35"/>
    <mergeCell ref="C34:C35"/>
    <mergeCell ref="D34:D35"/>
    <mergeCell ref="A36:A37"/>
    <mergeCell ref="B36:B37"/>
    <mergeCell ref="C36:C37"/>
    <mergeCell ref="D36:D37"/>
    <mergeCell ref="E40:E41"/>
    <mergeCell ref="F40:F41"/>
    <mergeCell ref="C38:C39"/>
    <mergeCell ref="D38:D39"/>
    <mergeCell ref="E36:E37"/>
    <mergeCell ref="F36:F37"/>
    <mergeCell ref="E38:E39"/>
    <mergeCell ref="F38:F39"/>
    <mergeCell ref="G42:G43"/>
    <mergeCell ref="H42:H43"/>
    <mergeCell ref="G38:G39"/>
    <mergeCell ref="H38:H39"/>
    <mergeCell ref="G40:G41"/>
    <mergeCell ref="H40:H41"/>
    <mergeCell ref="A44:A45"/>
    <mergeCell ref="B44:B45"/>
    <mergeCell ref="E42:E43"/>
    <mergeCell ref="F42:F43"/>
    <mergeCell ref="A42:A43"/>
    <mergeCell ref="B42:B43"/>
    <mergeCell ref="C42:C43"/>
    <mergeCell ref="D42:D43"/>
    <mergeCell ref="F44:F45"/>
    <mergeCell ref="E46:E47"/>
    <mergeCell ref="F46:F47"/>
    <mergeCell ref="A40:A41"/>
    <mergeCell ref="B40:B41"/>
    <mergeCell ref="C40:C41"/>
    <mergeCell ref="D40:D41"/>
    <mergeCell ref="A46:A47"/>
    <mergeCell ref="B46:B47"/>
    <mergeCell ref="C46:C47"/>
    <mergeCell ref="D46:D47"/>
    <mergeCell ref="F50:F51"/>
    <mergeCell ref="G54:G55"/>
    <mergeCell ref="C52:C53"/>
    <mergeCell ref="A52:A53"/>
    <mergeCell ref="B8:B9"/>
    <mergeCell ref="G50:G51"/>
    <mergeCell ref="C8:C9"/>
    <mergeCell ref="G8:G9"/>
    <mergeCell ref="D48:D49"/>
    <mergeCell ref="C44:C45"/>
    <mergeCell ref="H50:H51"/>
    <mergeCell ref="A50:A51"/>
    <mergeCell ref="B50:B51"/>
    <mergeCell ref="C50:C51"/>
    <mergeCell ref="D50:D51"/>
    <mergeCell ref="A58:A59"/>
    <mergeCell ref="B52:B53"/>
    <mergeCell ref="A54:A55"/>
    <mergeCell ref="B54:B55"/>
    <mergeCell ref="C58:C59"/>
    <mergeCell ref="A8:A9"/>
    <mergeCell ref="E52:E53"/>
    <mergeCell ref="A48:A49"/>
    <mergeCell ref="B48:B49"/>
    <mergeCell ref="E48:E49"/>
    <mergeCell ref="D52:D53"/>
    <mergeCell ref="C48:C49"/>
    <mergeCell ref="E50:E51"/>
    <mergeCell ref="D44:D45"/>
    <mergeCell ref="E44:E45"/>
    <mergeCell ref="D8:D9"/>
    <mergeCell ref="C54:C55"/>
    <mergeCell ref="H52:H53"/>
    <mergeCell ref="F54:F55"/>
    <mergeCell ref="E8:E9"/>
    <mergeCell ref="H54:H55"/>
    <mergeCell ref="F52:F53"/>
    <mergeCell ref="G52:G53"/>
    <mergeCell ref="G44:G45"/>
    <mergeCell ref="H44:H45"/>
    <mergeCell ref="C60:C64"/>
    <mergeCell ref="E58:E59"/>
    <mergeCell ref="F58:F59"/>
    <mergeCell ref="H58:H59"/>
    <mergeCell ref="G58:G59"/>
    <mergeCell ref="D58:D59"/>
    <mergeCell ref="D54:D55"/>
    <mergeCell ref="E54:E55"/>
    <mergeCell ref="H56:H57"/>
    <mergeCell ref="G36:G37"/>
    <mergeCell ref="H36:H37"/>
    <mergeCell ref="G20:G21"/>
    <mergeCell ref="H20:H21"/>
    <mergeCell ref="G26:G27"/>
    <mergeCell ref="H26:H27"/>
    <mergeCell ref="F8:F9"/>
    <mergeCell ref="F48:F49"/>
    <mergeCell ref="G46:G47"/>
    <mergeCell ref="H46:H47"/>
    <mergeCell ref="H48:H49"/>
    <mergeCell ref="H8:H9"/>
    <mergeCell ref="G48:G49"/>
    <mergeCell ref="G16:G17"/>
    <mergeCell ref="H16:H17"/>
    <mergeCell ref="G18:G19"/>
    <mergeCell ref="G56:G57"/>
    <mergeCell ref="A56:A57"/>
    <mergeCell ref="B56:B57"/>
    <mergeCell ref="C56:C57"/>
    <mergeCell ref="D56:D57"/>
    <mergeCell ref="E56:E57"/>
    <mergeCell ref="F56:F57"/>
  </mergeCells>
  <printOptions/>
  <pageMargins left="0.5905511811023623" right="0.3937007874015748" top="0.984251968503937" bottom="0.5511811023622047" header="0.5118110236220472" footer="0.5118110236220472"/>
  <pageSetup firstPageNumber="12" useFirstPageNumber="1" fitToHeight="2" horizontalDpi="300" verticalDpi="300" orientation="landscape" paperSize="9" scale="76" r:id="rId1"/>
  <headerFooter alignWithMargins="0">
    <oddFooter>&amp;CСтраница&amp;P</oddFooter>
  </headerFooter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Михаил Орлов</cp:lastModifiedBy>
  <cp:lastPrinted>2024-01-11T11:16:25Z</cp:lastPrinted>
  <dcterms:created xsi:type="dcterms:W3CDTF">2001-10-22T07:27:10Z</dcterms:created>
  <dcterms:modified xsi:type="dcterms:W3CDTF">2024-02-15T04:15:17Z</dcterms:modified>
  <cp:category/>
  <cp:version/>
  <cp:contentType/>
  <cp:contentStatus/>
</cp:coreProperties>
</file>